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nogradi.erzsebet\AppData\Local\Microsoft\Windows\INetCache\Content.Outlook\IVG7RT3Q\"/>
    </mc:Choice>
  </mc:AlternateContent>
  <xr:revisionPtr revIDLastSave="0" documentId="13_ncr:1_{DC00454C-522F-41BD-92D1-FEBC9187EED6}" xr6:coauthVersionLast="47" xr6:coauthVersionMax="47" xr10:uidLastSave="{00000000-0000-0000-0000-000000000000}"/>
  <bookViews>
    <workbookView xWindow="25080" yWindow="-120" windowWidth="25440" windowHeight="15390" xr2:uid="{B9321637-9ED1-46C8-971E-DFBCFC6704DD}"/>
  </bookViews>
  <sheets>
    <sheet name="2026_7-9 hó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4" i="1" l="1"/>
  <c r="E24" i="1"/>
  <c r="H24" i="1" s="1"/>
  <c r="L24" i="1" s="1"/>
  <c r="D24" i="1"/>
  <c r="C24" i="1"/>
  <c r="J23" i="1"/>
  <c r="H23" i="1"/>
  <c r="L23" i="1" s="1"/>
  <c r="I20" i="1"/>
  <c r="K20" i="1" s="1"/>
  <c r="G20" i="1"/>
  <c r="L20" i="1" s="1"/>
  <c r="F20" i="1"/>
  <c r="E20" i="1"/>
  <c r="H20" i="1" s="1"/>
  <c r="C20" i="1"/>
  <c r="D20" i="1" s="1"/>
  <c r="I19" i="1"/>
  <c r="G19" i="1"/>
  <c r="G21" i="1" s="1"/>
  <c r="F19" i="1"/>
  <c r="F21" i="1" s="1"/>
  <c r="E19" i="1"/>
  <c r="E21" i="1" s="1"/>
  <c r="C19" i="1"/>
  <c r="C21" i="1" s="1"/>
  <c r="I18" i="1"/>
  <c r="E18" i="1"/>
  <c r="K17" i="1"/>
  <c r="H17" i="1"/>
  <c r="L17" i="1" s="1"/>
  <c r="D17" i="1"/>
  <c r="J17" i="1" s="1"/>
  <c r="L16" i="1"/>
  <c r="H16" i="1"/>
  <c r="K16" i="1" s="1"/>
  <c r="D16" i="1"/>
  <c r="J16" i="1" s="1"/>
  <c r="J15" i="1"/>
  <c r="H15" i="1"/>
  <c r="L15" i="1" s="1"/>
  <c r="D15" i="1"/>
  <c r="L14" i="1"/>
  <c r="K14" i="1"/>
  <c r="J14" i="1"/>
  <c r="H14" i="1"/>
  <c r="D14" i="1"/>
  <c r="K13" i="1"/>
  <c r="H13" i="1"/>
  <c r="L13" i="1" s="1"/>
  <c r="D13" i="1"/>
  <c r="J13" i="1" s="1"/>
  <c r="L12" i="1"/>
  <c r="H12" i="1"/>
  <c r="K12" i="1" s="1"/>
  <c r="D12" i="1"/>
  <c r="J12" i="1" s="1"/>
  <c r="J11" i="1"/>
  <c r="H11" i="1"/>
  <c r="L11" i="1" s="1"/>
  <c r="D11" i="1"/>
  <c r="I10" i="1"/>
  <c r="E10" i="1"/>
  <c r="H10" i="1" s="1"/>
  <c r="D10" i="1"/>
  <c r="J10" i="1" s="1"/>
  <c r="C10" i="1"/>
  <c r="J9" i="1"/>
  <c r="I9" i="1"/>
  <c r="G9" i="1"/>
  <c r="L9" i="1" s="1"/>
  <c r="F9" i="1"/>
  <c r="H9" i="1" s="1"/>
  <c r="K9" i="1" s="1"/>
  <c r="E9" i="1"/>
  <c r="D9" i="1"/>
  <c r="C9" i="1"/>
  <c r="L8" i="1"/>
  <c r="H8" i="1"/>
  <c r="K8" i="1" s="1"/>
  <c r="D8" i="1"/>
  <c r="J8" i="1" s="1"/>
  <c r="J7" i="1"/>
  <c r="H7" i="1"/>
  <c r="L7" i="1" s="1"/>
  <c r="D7" i="1"/>
  <c r="I6" i="1"/>
  <c r="G6" i="1"/>
  <c r="G18" i="1" s="1"/>
  <c r="F6" i="1"/>
  <c r="H6" i="1" s="1"/>
  <c r="E6" i="1"/>
  <c r="C6" i="1"/>
  <c r="C18" i="1" s="1"/>
  <c r="G22" i="1" l="1"/>
  <c r="C22" i="1"/>
  <c r="E22" i="1"/>
  <c r="L10" i="1"/>
  <c r="K10" i="1"/>
  <c r="H18" i="1"/>
  <c r="L18" i="1" s="1"/>
  <c r="K6" i="1"/>
  <c r="K24" i="1"/>
  <c r="F18" i="1"/>
  <c r="F22" i="1" s="1"/>
  <c r="D19" i="1"/>
  <c r="D21" i="1" s="1"/>
  <c r="H19" i="1"/>
  <c r="L19" i="1"/>
  <c r="J20" i="1"/>
  <c r="J24" i="1"/>
  <c r="D6" i="1"/>
  <c r="L6" i="1"/>
  <c r="K7" i="1"/>
  <c r="K11" i="1"/>
  <c r="K15" i="1"/>
  <c r="I21" i="1"/>
  <c r="K23" i="1"/>
  <c r="J21" i="1" l="1"/>
  <c r="K21" i="1"/>
  <c r="K18" i="1"/>
  <c r="D18" i="1"/>
  <c r="J6" i="1"/>
  <c r="K19" i="1"/>
  <c r="H21" i="1"/>
  <c r="L21" i="1" s="1"/>
  <c r="I22" i="1"/>
  <c r="J19" i="1"/>
  <c r="D22" i="1" l="1"/>
  <c r="J22" i="1" s="1"/>
  <c r="J18" i="1"/>
  <c r="H22" i="1"/>
  <c r="L22" i="1" s="1"/>
  <c r="K22" i="1" l="1"/>
</calcChain>
</file>

<file path=xl/sharedStrings.xml><?xml version="1.0" encoding="utf-8"?>
<sst xmlns="http://schemas.openxmlformats.org/spreadsheetml/2006/main" count="39" uniqueCount="39">
  <si>
    <t>2026 harmadik negyedév</t>
  </si>
  <si>
    <t>Szakmakód</t>
  </si>
  <si>
    <t>Szakma</t>
  </si>
  <si>
    <t>Szerződött ágyak száma (átlag)</t>
  </si>
  <si>
    <t>Lehetséges ápolási napok (szerződött ágy)</t>
  </si>
  <si>
    <t>Kiírt betegek száma</t>
  </si>
  <si>
    <t>Havi összes ápolási nap</t>
  </si>
  <si>
    <t>Ágykihasz-náltság % (szerződött ágyra)</t>
  </si>
  <si>
    <t>Havi ápolás átlagos tartalma</t>
  </si>
  <si>
    <t>Halálozás %</t>
  </si>
  <si>
    <t>eltávozott</t>
  </si>
  <si>
    <t>áthelyezett</t>
  </si>
  <si>
    <t>meghalt</t>
  </si>
  <si>
    <t>01</t>
  </si>
  <si>
    <t>Belgyógyászat</t>
  </si>
  <si>
    <t>Kardiológia</t>
  </si>
  <si>
    <t>02</t>
  </si>
  <si>
    <t>Sebészet</t>
  </si>
  <si>
    <t>04</t>
  </si>
  <si>
    <t>Szülészet-nőgyógyászat</t>
  </si>
  <si>
    <t>05</t>
  </si>
  <si>
    <t>Csecsemő-és gyermekgyógyászat</t>
  </si>
  <si>
    <t>06</t>
  </si>
  <si>
    <t>Fül-orr-gégegyógyászat</t>
  </si>
  <si>
    <t>07</t>
  </si>
  <si>
    <t>Szemészeti osztály</t>
  </si>
  <si>
    <t>09</t>
  </si>
  <si>
    <t>Neurológia</t>
  </si>
  <si>
    <t>Urológia</t>
  </si>
  <si>
    <t>Aneszteziológiai és Intenzív Betegellátás</t>
  </si>
  <si>
    <t>Sürgősségi Betegellátás</t>
  </si>
  <si>
    <t>Pszichiátria</t>
  </si>
  <si>
    <t>Aktív ellátás összesen:</t>
  </si>
  <si>
    <t>Krónikus ellátás</t>
  </si>
  <si>
    <t>Rehabilitációs ellátás</t>
  </si>
  <si>
    <t>Krónikus ellátás összesen:</t>
  </si>
  <si>
    <t xml:space="preserve">  Mindösszesen:</t>
  </si>
  <si>
    <t>Újszülött ellátások</t>
  </si>
  <si>
    <t>Nappali ellátások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</si>
</sst>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E]yyyy/\ mmmm;@"/>
    <numFmt numFmtId="165" formatCode="0.0"/>
    <numFmt numFmtId="166" formatCode="0.0%"/>
    <numFmt numFmtId="167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/>
    <xf numFmtId="0" fontId="3" fillId="2" borderId="1" xfId="0" applyFont="1" applyFill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1" fontId="0" fillId="0" borderId="1" xfId="0" applyNumberFormat="1" applyBorder="1"/>
    <xf numFmtId="3" fontId="0" fillId="0" borderId="1" xfId="0" applyNumberFormat="1" applyBorder="1"/>
    <xf numFmtId="3" fontId="4" fillId="0" borderId="1" xfId="0" applyNumberFormat="1" applyFont="1" applyBorder="1"/>
    <xf numFmtId="9" fontId="4" fillId="0" borderId="1" xfId="0" applyNumberFormat="1" applyFont="1" applyBorder="1"/>
    <xf numFmtId="165" fontId="0" fillId="0" borderId="1" xfId="0" applyNumberFormat="1" applyBorder="1"/>
    <xf numFmtId="166" fontId="0" fillId="0" borderId="1" xfId="0" applyNumberFormat="1" applyBorder="1"/>
    <xf numFmtId="0" fontId="0" fillId="0" borderId="1" xfId="0" applyBorder="1"/>
    <xf numFmtId="9" fontId="0" fillId="0" borderId="1" xfId="0" applyNumberFormat="1" applyBorder="1"/>
    <xf numFmtId="1" fontId="4" fillId="0" borderId="1" xfId="0" applyNumberFormat="1" applyFont="1" applyBorder="1"/>
    <xf numFmtId="3" fontId="0" fillId="2" borderId="1" xfId="0" applyNumberFormat="1" applyFill="1" applyBorder="1"/>
    <xf numFmtId="9" fontId="0" fillId="2" borderId="1" xfId="0" applyNumberFormat="1" applyFill="1" applyBorder="1"/>
    <xf numFmtId="165" fontId="0" fillId="2" borderId="1" xfId="0" applyNumberFormat="1" applyFill="1" applyBorder="1"/>
    <xf numFmtId="166" fontId="0" fillId="2" borderId="1" xfId="0" applyNumberFormat="1" applyFill="1" applyBorder="1"/>
    <xf numFmtId="0" fontId="2" fillId="0" borderId="0" xfId="0" applyFont="1" applyAlignment="1">
      <alignment horizontal="center"/>
    </xf>
    <xf numFmtId="49" fontId="2" fillId="0" borderId="0" xfId="0" applyNumberFormat="1" applyFont="1"/>
    <xf numFmtId="167" fontId="5" fillId="0" borderId="0" xfId="0" applyNumberFormat="1" applyFont="1"/>
    <xf numFmtId="10" fontId="0" fillId="0" borderId="0" xfId="0" applyNumberFormat="1"/>
    <xf numFmtId="2" fontId="0" fillId="0" borderId="0" xfId="0" applyNumberFormat="1"/>
    <xf numFmtId="0" fontId="2" fillId="0" borderId="0" xfId="0" applyFont="1"/>
    <xf numFmtId="2" fontId="3" fillId="2" borderId="1" xfId="0" applyNumberFormat="1" applyFont="1" applyFill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/>
    </xf>
    <xf numFmtId="17" fontId="1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41DD-0E58-4756-A845-E719147D485F}">
  <dimension ref="A1:L25"/>
  <sheetViews>
    <sheetView tabSelected="1" zoomScale="85" zoomScaleNormal="85" workbookViewId="0">
      <pane xSplit="2" ySplit="5" topLeftCell="C6" activePane="bottomRight" state="frozen"/>
      <selection activeCell="L30" sqref="L30"/>
      <selection pane="topRight" activeCell="L30" sqref="L30"/>
      <selection pane="bottomLeft" activeCell="L30" sqref="L30"/>
      <selection pane="bottomRight" activeCell="G11" sqref="G11"/>
    </sheetView>
  </sheetViews>
  <sheetFormatPr defaultRowHeight="15" x14ac:dyDescent="0.25"/>
  <cols>
    <col min="1" max="1" width="12.85546875" style="22" customWidth="1"/>
    <col min="2" max="2" width="37.42578125" style="27" customWidth="1"/>
    <col min="3" max="3" width="10.85546875" customWidth="1"/>
    <col min="4" max="4" width="13.42578125" customWidth="1"/>
    <col min="5" max="5" width="12.7109375" bestFit="1" customWidth="1"/>
    <col min="6" max="6" width="11.140625" bestFit="1" customWidth="1"/>
    <col min="7" max="7" width="8.42578125" bestFit="1" customWidth="1"/>
    <col min="8" max="8" width="9.85546875" customWidth="1"/>
    <col min="9" max="9" width="10.28515625" customWidth="1"/>
    <col min="10" max="10" width="12.140625" style="25" customWidth="1"/>
    <col min="11" max="11" width="12.42578125" style="26" customWidth="1"/>
    <col min="12" max="12" width="12.7109375" style="25" customWidth="1"/>
  </cols>
  <sheetData>
    <row r="1" spans="1:12" ht="15.7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15.75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2" x14ac:dyDescent="0.25">
      <c r="A3" s="1"/>
      <c r="B3" s="2"/>
      <c r="C3" s="2"/>
      <c r="D3" s="2"/>
      <c r="E3" s="2"/>
      <c r="F3" s="2"/>
      <c r="G3" s="2"/>
      <c r="H3" s="2"/>
      <c r="I3" s="2"/>
      <c r="J3" s="3"/>
      <c r="K3" s="4"/>
      <c r="L3" s="5"/>
    </row>
    <row r="4" spans="1:12" ht="15" customHeight="1" x14ac:dyDescent="0.25">
      <c r="A4" s="34" t="s">
        <v>1</v>
      </c>
      <c r="B4" s="34" t="s">
        <v>2</v>
      </c>
      <c r="C4" s="34" t="s">
        <v>3</v>
      </c>
      <c r="D4" s="34" t="s">
        <v>4</v>
      </c>
      <c r="E4" s="35"/>
      <c r="F4" s="35"/>
      <c r="G4" s="35"/>
      <c r="H4" s="34" t="s">
        <v>5</v>
      </c>
      <c r="I4" s="34" t="s">
        <v>6</v>
      </c>
      <c r="J4" s="29" t="s">
        <v>7</v>
      </c>
      <c r="K4" s="28" t="s">
        <v>8</v>
      </c>
      <c r="L4" s="29" t="s">
        <v>9</v>
      </c>
    </row>
    <row r="5" spans="1:12" ht="59.25" customHeight="1" x14ac:dyDescent="0.25">
      <c r="A5" s="34"/>
      <c r="B5" s="34"/>
      <c r="C5" s="34"/>
      <c r="D5" s="34"/>
      <c r="E5" s="6" t="s">
        <v>10</v>
      </c>
      <c r="F5" s="6" t="s">
        <v>11</v>
      </c>
      <c r="G5" s="6" t="s">
        <v>12</v>
      </c>
      <c r="H5" s="34"/>
      <c r="I5" s="34"/>
      <c r="J5" s="29"/>
      <c r="K5" s="28"/>
      <c r="L5" s="29"/>
    </row>
    <row r="6" spans="1:12" x14ac:dyDescent="0.25">
      <c r="A6" s="7" t="s">
        <v>13</v>
      </c>
      <c r="B6" s="8" t="s">
        <v>14</v>
      </c>
      <c r="C6" s="9">
        <f>24+36+10</f>
        <v>70</v>
      </c>
      <c r="D6" s="10">
        <f>(31+31+30)*C6</f>
        <v>6440</v>
      </c>
      <c r="E6" s="11">
        <f>186+213+164</f>
        <v>563</v>
      </c>
      <c r="F6" s="11">
        <f>54+35+23</f>
        <v>112</v>
      </c>
      <c r="G6" s="11">
        <f>43+34+35</f>
        <v>112</v>
      </c>
      <c r="H6" s="11">
        <f>+E6+F6+G6</f>
        <v>787</v>
      </c>
      <c r="I6" s="11">
        <f>3049.5+2749.5+2758.5</f>
        <v>8557.5</v>
      </c>
      <c r="J6" s="12">
        <f>IFERROR(+I6/D6,"")</f>
        <v>1.3288043478260869</v>
      </c>
      <c r="K6" s="13">
        <f t="shared" ref="K6:K17" si="0">IFERROR(+I6/H6,"")</f>
        <v>10.873570520965693</v>
      </c>
      <c r="L6" s="14">
        <f t="shared" ref="L6:L17" si="1">IFERROR(+G6/H6,"")</f>
        <v>0.14231257941550191</v>
      </c>
    </row>
    <row r="7" spans="1:12" x14ac:dyDescent="0.25">
      <c r="A7" s="7">
        <v>40</v>
      </c>
      <c r="B7" s="8" t="s">
        <v>15</v>
      </c>
      <c r="C7" s="15">
        <v>56</v>
      </c>
      <c r="D7" s="10">
        <f t="shared" ref="D7:D17" si="2">(31+31+30)*C7</f>
        <v>5152</v>
      </c>
      <c r="E7" s="10">
        <v>224</v>
      </c>
      <c r="F7" s="10">
        <v>40</v>
      </c>
      <c r="G7" s="10">
        <v>39</v>
      </c>
      <c r="H7" s="10">
        <f t="shared" ref="H7:H20" si="3">+E7+F7+G7</f>
        <v>303</v>
      </c>
      <c r="I7" s="10">
        <v>2982</v>
      </c>
      <c r="J7" s="16">
        <f t="shared" ref="J7:J17" si="4">IFERROR(+I7/D7,"")</f>
        <v>0.57880434782608692</v>
      </c>
      <c r="K7" s="13">
        <f t="shared" si="0"/>
        <v>9.8415841584158414</v>
      </c>
      <c r="L7" s="14">
        <f t="shared" si="1"/>
        <v>0.12871287128712872</v>
      </c>
    </row>
    <row r="8" spans="1:12" x14ac:dyDescent="0.25">
      <c r="A8" s="7" t="s">
        <v>16</v>
      </c>
      <c r="B8" s="8" t="s">
        <v>17</v>
      </c>
      <c r="C8" s="15">
        <v>65</v>
      </c>
      <c r="D8" s="10">
        <f t="shared" si="2"/>
        <v>5980</v>
      </c>
      <c r="E8" s="10">
        <v>608</v>
      </c>
      <c r="F8" s="10">
        <v>27</v>
      </c>
      <c r="G8" s="10">
        <v>14</v>
      </c>
      <c r="H8" s="10">
        <f t="shared" si="3"/>
        <v>649</v>
      </c>
      <c r="I8" s="10">
        <v>3078.5</v>
      </c>
      <c r="J8" s="16">
        <f t="shared" si="4"/>
        <v>0.51479933110367893</v>
      </c>
      <c r="K8" s="13">
        <f t="shared" si="0"/>
        <v>4.7434514637904472</v>
      </c>
      <c r="L8" s="14">
        <f t="shared" si="1"/>
        <v>2.1571648690292759E-2</v>
      </c>
    </row>
    <row r="9" spans="1:12" x14ac:dyDescent="0.25">
      <c r="A9" s="7" t="s">
        <v>18</v>
      </c>
      <c r="B9" s="8" t="s">
        <v>19</v>
      </c>
      <c r="C9" s="15">
        <f>15+37</f>
        <v>52</v>
      </c>
      <c r="D9" s="10">
        <f t="shared" si="2"/>
        <v>4784</v>
      </c>
      <c r="E9" s="10">
        <f>334+756</f>
        <v>1090</v>
      </c>
      <c r="F9" s="10">
        <f>5+2</f>
        <v>7</v>
      </c>
      <c r="G9" s="10">
        <f>0+4</f>
        <v>4</v>
      </c>
      <c r="H9" s="10">
        <f t="shared" si="3"/>
        <v>1101</v>
      </c>
      <c r="I9" s="10">
        <f>471+2256.5</f>
        <v>2727.5</v>
      </c>
      <c r="J9" s="16">
        <f t="shared" si="4"/>
        <v>0.57012959866220736</v>
      </c>
      <c r="K9" s="13">
        <f t="shared" si="0"/>
        <v>2.4772933696639421</v>
      </c>
      <c r="L9" s="14">
        <f t="shared" si="1"/>
        <v>3.6330608537693005E-3</v>
      </c>
    </row>
    <row r="10" spans="1:12" x14ac:dyDescent="0.25">
      <c r="A10" s="7" t="s">
        <v>20</v>
      </c>
      <c r="B10" s="8" t="s">
        <v>21</v>
      </c>
      <c r="C10" s="15">
        <f>5+20</f>
        <v>25</v>
      </c>
      <c r="D10" s="10">
        <f t="shared" si="2"/>
        <v>2300</v>
      </c>
      <c r="E10" s="10">
        <f>65+2</f>
        <v>67</v>
      </c>
      <c r="F10" s="10">
        <v>0</v>
      </c>
      <c r="G10" s="10">
        <v>0</v>
      </c>
      <c r="H10" s="10">
        <f t="shared" si="3"/>
        <v>67</v>
      </c>
      <c r="I10" s="10">
        <f>1203.5+4</f>
        <v>1207.5</v>
      </c>
      <c r="J10" s="16">
        <f t="shared" si="4"/>
        <v>0.52500000000000002</v>
      </c>
      <c r="K10" s="13">
        <f t="shared" si="0"/>
        <v>18.022388059701491</v>
      </c>
      <c r="L10" s="14">
        <f t="shared" si="1"/>
        <v>0</v>
      </c>
    </row>
    <row r="11" spans="1:12" x14ac:dyDescent="0.25">
      <c r="A11" s="7" t="s">
        <v>22</v>
      </c>
      <c r="B11" s="8" t="s">
        <v>23</v>
      </c>
      <c r="C11" s="15">
        <v>20</v>
      </c>
      <c r="D11" s="10">
        <f t="shared" si="2"/>
        <v>1840</v>
      </c>
      <c r="E11" s="10">
        <v>434</v>
      </c>
      <c r="F11" s="10">
        <v>8</v>
      </c>
      <c r="G11" s="10">
        <v>3</v>
      </c>
      <c r="H11" s="10">
        <f t="shared" si="3"/>
        <v>445</v>
      </c>
      <c r="I11" s="10">
        <v>1165.5</v>
      </c>
      <c r="J11" s="16">
        <f t="shared" si="4"/>
        <v>0.63342391304347823</v>
      </c>
      <c r="K11" s="13">
        <f t="shared" si="0"/>
        <v>2.6191011235955055</v>
      </c>
      <c r="L11" s="14">
        <f>IFERROR(+G11/H11,"")</f>
        <v>6.7415730337078653E-3</v>
      </c>
    </row>
    <row r="12" spans="1:12" x14ac:dyDescent="0.25">
      <c r="A12" s="7" t="s">
        <v>24</v>
      </c>
      <c r="B12" s="8" t="s">
        <v>25</v>
      </c>
      <c r="C12" s="15">
        <v>15</v>
      </c>
      <c r="D12" s="10">
        <f t="shared" si="2"/>
        <v>1380</v>
      </c>
      <c r="E12" s="10">
        <v>656</v>
      </c>
      <c r="F12" s="10">
        <v>1</v>
      </c>
      <c r="G12" s="10">
        <v>0</v>
      </c>
      <c r="H12" s="10">
        <f t="shared" si="3"/>
        <v>657</v>
      </c>
      <c r="I12" s="10">
        <v>163.5</v>
      </c>
      <c r="J12" s="16">
        <f t="shared" si="4"/>
        <v>0.11847826086956521</v>
      </c>
      <c r="K12" s="13">
        <f t="shared" si="0"/>
        <v>0.24885844748858446</v>
      </c>
      <c r="L12" s="14">
        <f t="shared" si="1"/>
        <v>0</v>
      </c>
    </row>
    <row r="13" spans="1:12" x14ac:dyDescent="0.25">
      <c r="A13" s="7" t="s">
        <v>26</v>
      </c>
      <c r="B13" s="8" t="s">
        <v>27</v>
      </c>
      <c r="C13" s="15">
        <v>67</v>
      </c>
      <c r="D13" s="10">
        <f t="shared" si="2"/>
        <v>6164</v>
      </c>
      <c r="E13" s="10">
        <v>559</v>
      </c>
      <c r="F13" s="10">
        <v>86</v>
      </c>
      <c r="G13" s="10">
        <v>35</v>
      </c>
      <c r="H13" s="10">
        <f t="shared" si="3"/>
        <v>680</v>
      </c>
      <c r="I13" s="10">
        <v>4488.5</v>
      </c>
      <c r="J13" s="16">
        <f>IFERROR(+I13/D13,"")</f>
        <v>0.72817975340687868</v>
      </c>
      <c r="K13" s="13">
        <f t="shared" si="0"/>
        <v>6.6007352941176469</v>
      </c>
      <c r="L13" s="14">
        <f t="shared" si="1"/>
        <v>5.1470588235294115E-2</v>
      </c>
    </row>
    <row r="14" spans="1:12" x14ac:dyDescent="0.25">
      <c r="A14" s="7">
        <v>11</v>
      </c>
      <c r="B14" s="8" t="s">
        <v>28</v>
      </c>
      <c r="C14" s="15">
        <v>45</v>
      </c>
      <c r="D14" s="10">
        <f t="shared" si="2"/>
        <v>4140</v>
      </c>
      <c r="E14" s="10">
        <v>869</v>
      </c>
      <c r="F14" s="10">
        <v>10</v>
      </c>
      <c r="G14" s="10">
        <v>1</v>
      </c>
      <c r="H14" s="10">
        <f t="shared" si="3"/>
        <v>880</v>
      </c>
      <c r="I14" s="10">
        <v>2856</v>
      </c>
      <c r="J14" s="16">
        <f t="shared" si="4"/>
        <v>0.68985507246376809</v>
      </c>
      <c r="K14" s="13">
        <f t="shared" si="0"/>
        <v>3.2454545454545456</v>
      </c>
      <c r="L14" s="14">
        <f t="shared" si="1"/>
        <v>1.1363636363636363E-3</v>
      </c>
    </row>
    <row r="15" spans="1:12" x14ac:dyDescent="0.25">
      <c r="A15" s="7">
        <v>15</v>
      </c>
      <c r="B15" s="8" t="s">
        <v>29</v>
      </c>
      <c r="C15" s="17">
        <v>7</v>
      </c>
      <c r="D15" s="10">
        <f t="shared" si="2"/>
        <v>644</v>
      </c>
      <c r="E15" s="10">
        <v>10</v>
      </c>
      <c r="F15" s="10">
        <v>36</v>
      </c>
      <c r="G15" s="10">
        <v>19</v>
      </c>
      <c r="H15" s="10">
        <f t="shared" si="3"/>
        <v>65</v>
      </c>
      <c r="I15" s="10">
        <v>496.5</v>
      </c>
      <c r="J15" s="16">
        <f t="shared" si="4"/>
        <v>0.77096273291925466</v>
      </c>
      <c r="K15" s="13">
        <f t="shared" si="0"/>
        <v>7.6384615384615389</v>
      </c>
      <c r="L15" s="14">
        <f t="shared" si="1"/>
        <v>0.29230769230769232</v>
      </c>
    </row>
    <row r="16" spans="1:12" x14ac:dyDescent="0.25">
      <c r="A16" s="7">
        <v>46</v>
      </c>
      <c r="B16" s="8" t="s">
        <v>30</v>
      </c>
      <c r="C16" s="15">
        <v>12</v>
      </c>
      <c r="D16" s="10">
        <f t="shared" si="2"/>
        <v>1104</v>
      </c>
      <c r="E16" s="10">
        <v>820</v>
      </c>
      <c r="F16" s="10">
        <v>0</v>
      </c>
      <c r="G16" s="10">
        <v>36</v>
      </c>
      <c r="H16" s="10">
        <f t="shared" si="3"/>
        <v>856</v>
      </c>
      <c r="I16" s="10">
        <v>200</v>
      </c>
      <c r="J16" s="16">
        <f t="shared" si="4"/>
        <v>0.18115942028985507</v>
      </c>
      <c r="K16" s="13">
        <f t="shared" si="0"/>
        <v>0.23364485981308411</v>
      </c>
      <c r="L16" s="14">
        <f t="shared" si="1"/>
        <v>4.2056074766355138E-2</v>
      </c>
    </row>
    <row r="17" spans="1:12" x14ac:dyDescent="0.25">
      <c r="A17" s="7">
        <v>18</v>
      </c>
      <c r="B17" s="8" t="s">
        <v>31</v>
      </c>
      <c r="C17" s="15">
        <v>29</v>
      </c>
      <c r="D17" s="10">
        <f t="shared" si="2"/>
        <v>2668</v>
      </c>
      <c r="E17" s="10">
        <v>298</v>
      </c>
      <c r="F17" s="10">
        <v>116</v>
      </c>
      <c r="G17" s="10">
        <v>2</v>
      </c>
      <c r="H17" s="10">
        <f t="shared" si="3"/>
        <v>416</v>
      </c>
      <c r="I17" s="10">
        <v>4884</v>
      </c>
      <c r="J17" s="16">
        <f t="shared" si="4"/>
        <v>1.830584707646177</v>
      </c>
      <c r="K17" s="13">
        <f t="shared" si="0"/>
        <v>11.740384615384615</v>
      </c>
      <c r="L17" s="14">
        <f t="shared" si="1"/>
        <v>4.807692307692308E-3</v>
      </c>
    </row>
    <row r="18" spans="1:12" x14ac:dyDescent="0.25">
      <c r="A18" s="30" t="s">
        <v>32</v>
      </c>
      <c r="B18" s="31"/>
      <c r="C18" s="18">
        <f t="shared" ref="C18:I18" si="5">SUM(C6:C17)</f>
        <v>463</v>
      </c>
      <c r="D18" s="18">
        <f t="shared" si="5"/>
        <v>42596</v>
      </c>
      <c r="E18" s="18">
        <f t="shared" si="5"/>
        <v>6198</v>
      </c>
      <c r="F18" s="18">
        <f t="shared" si="5"/>
        <v>443</v>
      </c>
      <c r="G18" s="18">
        <f t="shared" si="5"/>
        <v>265</v>
      </c>
      <c r="H18" s="18">
        <f t="shared" si="5"/>
        <v>6906</v>
      </c>
      <c r="I18" s="18">
        <f t="shared" si="5"/>
        <v>32807</v>
      </c>
      <c r="J18" s="19">
        <f>+I18/D18</f>
        <v>0.77018968917269226</v>
      </c>
      <c r="K18" s="20">
        <f>+I18/H18</f>
        <v>4.7505068056762232</v>
      </c>
      <c r="L18" s="21">
        <f>+G18/H18</f>
        <v>3.837242977121344E-2</v>
      </c>
    </row>
    <row r="19" spans="1:12" x14ac:dyDescent="0.25">
      <c r="A19" s="7"/>
      <c r="B19" s="8" t="s">
        <v>33</v>
      </c>
      <c r="C19" s="15">
        <f>59+15+60+15+2+3+25</f>
        <v>179</v>
      </c>
      <c r="D19" s="10">
        <f t="shared" ref="D19:D20" si="6">(31+31+30)*C19</f>
        <v>16468</v>
      </c>
      <c r="E19" s="10">
        <f>24+17+27+26+0+1+31</f>
        <v>126</v>
      </c>
      <c r="F19" s="10">
        <f>1+19+3+12+1+1+23</f>
        <v>60</v>
      </c>
      <c r="G19" s="10">
        <f>26+15+44+8+0+0+19</f>
        <v>112</v>
      </c>
      <c r="H19" s="10">
        <f>+E19+F19+G19</f>
        <v>298</v>
      </c>
      <c r="I19" s="10">
        <f>2445+644+4973.5+601.5+23.5+30.5+1940</f>
        <v>10658</v>
      </c>
      <c r="J19" s="16">
        <f>IFERROR(+I19/D19,"")</f>
        <v>0.64719455914500845</v>
      </c>
      <c r="K19" s="13">
        <f>IFERROR(+I19/H19,"")</f>
        <v>35.765100671140942</v>
      </c>
      <c r="L19" s="14">
        <f>IFERROR(+G19/H19,"")</f>
        <v>0.37583892617449666</v>
      </c>
    </row>
    <row r="20" spans="1:12" x14ac:dyDescent="0.25">
      <c r="A20" s="7"/>
      <c r="B20" s="8" t="s">
        <v>34</v>
      </c>
      <c r="C20" s="15">
        <f>91+60+40</f>
        <v>191</v>
      </c>
      <c r="D20" s="10">
        <f t="shared" si="6"/>
        <v>17572</v>
      </c>
      <c r="E20" s="10">
        <f>39+160+107</f>
        <v>306</v>
      </c>
      <c r="F20" s="10">
        <f>3+2+4</f>
        <v>9</v>
      </c>
      <c r="G20" s="10">
        <f>2+0+7</f>
        <v>9</v>
      </c>
      <c r="H20" s="10">
        <f t="shared" si="3"/>
        <v>324</v>
      </c>
      <c r="I20" s="10">
        <f>1505+4171+3413</f>
        <v>9089</v>
      </c>
      <c r="J20" s="16">
        <f>IFERROR(+I20/D20,"")</f>
        <v>0.51724334167994535</v>
      </c>
      <c r="K20" s="13">
        <f>IFERROR(+I20/H20,"")</f>
        <v>28.052469135802468</v>
      </c>
      <c r="L20" s="14">
        <f>IFERROR(+G20/H20,"")</f>
        <v>2.7777777777777776E-2</v>
      </c>
    </row>
    <row r="21" spans="1:12" x14ac:dyDescent="0.25">
      <c r="A21" s="30" t="s">
        <v>35</v>
      </c>
      <c r="B21" s="31"/>
      <c r="C21" s="18">
        <f t="shared" ref="C21:H21" si="7">SUM(C19:C20)</f>
        <v>370</v>
      </c>
      <c r="D21" s="18">
        <f t="shared" si="7"/>
        <v>34040</v>
      </c>
      <c r="E21" s="18">
        <f t="shared" si="7"/>
        <v>432</v>
      </c>
      <c r="F21" s="18">
        <f t="shared" si="7"/>
        <v>69</v>
      </c>
      <c r="G21" s="18">
        <f t="shared" si="7"/>
        <v>121</v>
      </c>
      <c r="H21" s="18">
        <f t="shared" si="7"/>
        <v>622</v>
      </c>
      <c r="I21" s="18">
        <f>SUM(I19:I20)</f>
        <v>19747</v>
      </c>
      <c r="J21" s="19">
        <f>+I21/D21</f>
        <v>0.58011163337250293</v>
      </c>
      <c r="K21" s="20">
        <f>+I21/H21</f>
        <v>31.7475884244373</v>
      </c>
      <c r="L21" s="21">
        <f>+G21/H21</f>
        <v>0.19453376205787781</v>
      </c>
    </row>
    <row r="22" spans="1:12" x14ac:dyDescent="0.25">
      <c r="A22" s="30" t="s">
        <v>36</v>
      </c>
      <c r="B22" s="31"/>
      <c r="C22" s="18">
        <f>+C18+C21</f>
        <v>833</v>
      </c>
      <c r="D22" s="18">
        <f>+D18+D21</f>
        <v>76636</v>
      </c>
      <c r="E22" s="18">
        <f t="shared" ref="E22:H22" si="8">+E18+E21</f>
        <v>6630</v>
      </c>
      <c r="F22" s="18">
        <f t="shared" si="8"/>
        <v>512</v>
      </c>
      <c r="G22" s="18">
        <f t="shared" si="8"/>
        <v>386</v>
      </c>
      <c r="H22" s="18">
        <f t="shared" si="8"/>
        <v>7528</v>
      </c>
      <c r="I22" s="18">
        <f>+I18+I21</f>
        <v>52554</v>
      </c>
      <c r="J22" s="19">
        <f>+I22/D22</f>
        <v>0.68576126102614954</v>
      </c>
      <c r="K22" s="20">
        <f>+I22/H22</f>
        <v>6.9811370882040382</v>
      </c>
      <c r="L22" s="21">
        <f>+G22/H22</f>
        <v>5.1275239107332622E-2</v>
      </c>
    </row>
    <row r="23" spans="1:12" x14ac:dyDescent="0.25">
      <c r="A23" s="7"/>
      <c r="B23" s="8" t="s">
        <v>37</v>
      </c>
      <c r="C23" s="15"/>
      <c r="D23" s="10"/>
      <c r="E23" s="10">
        <v>500</v>
      </c>
      <c r="F23" s="10">
        <v>46</v>
      </c>
      <c r="G23" s="10">
        <v>0</v>
      </c>
      <c r="H23" s="10">
        <f t="shared" ref="H23" si="9">+E23+F23+G23</f>
        <v>546</v>
      </c>
      <c r="I23" s="10">
        <v>1829.5</v>
      </c>
      <c r="J23" s="16" t="str">
        <f>IFERROR(+I23/D23,"")</f>
        <v/>
      </c>
      <c r="K23" s="13">
        <f>IFERROR(+I23/H23,"")</f>
        <v>3.3507326007326008</v>
      </c>
      <c r="L23" s="14">
        <f>IFERROR(+G23/H23,"")</f>
        <v>0</v>
      </c>
    </row>
    <row r="24" spans="1:12" x14ac:dyDescent="0.25">
      <c r="A24" s="7"/>
      <c r="B24" s="8" t="s">
        <v>38</v>
      </c>
      <c r="C24" s="15">
        <f>12+24+25</f>
        <v>61</v>
      </c>
      <c r="D24" s="10">
        <f>(12+24+25)*(13*5+1)</f>
        <v>4026</v>
      </c>
      <c r="E24" s="10">
        <f>12+61+23</f>
        <v>96</v>
      </c>
      <c r="F24" s="10">
        <v>0</v>
      </c>
      <c r="G24" s="10">
        <v>0</v>
      </c>
      <c r="H24" s="10">
        <f>+E24+F24+G24</f>
        <v>96</v>
      </c>
      <c r="I24" s="10">
        <f>187+788.5+1397.5</f>
        <v>2373</v>
      </c>
      <c r="J24" s="16">
        <f>IFERROR(+I24/D24,"")</f>
        <v>0.58941877794336806</v>
      </c>
      <c r="K24" s="13">
        <f>IFERROR(+I24/H24,"")</f>
        <v>24.71875</v>
      </c>
      <c r="L24" s="14">
        <f>IFERROR(+G24/H24,"")</f>
        <v>0</v>
      </c>
    </row>
    <row r="25" spans="1:12" x14ac:dyDescent="0.25">
      <c r="B25" s="23"/>
      <c r="D25" s="24"/>
      <c r="E25" s="24"/>
      <c r="F25" s="24"/>
      <c r="G25" s="24"/>
      <c r="H25" s="24"/>
      <c r="I25" s="24"/>
    </row>
  </sheetData>
  <mergeCells count="15">
    <mergeCell ref="A1:L1"/>
    <mergeCell ref="A2:L2"/>
    <mergeCell ref="A4:A5"/>
    <mergeCell ref="B4:B5"/>
    <mergeCell ref="C4:C5"/>
    <mergeCell ref="D4:D5"/>
    <mergeCell ref="E4:G4"/>
    <mergeCell ref="H4:H5"/>
    <mergeCell ref="I4:I5"/>
    <mergeCell ref="J4:J5"/>
    <mergeCell ref="K4:K5"/>
    <mergeCell ref="L4:L5"/>
    <mergeCell ref="A18:B18"/>
    <mergeCell ref="A21:B21"/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2026_7-9 hó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Ilex Kft</dc:creator>
  <cp:lastModifiedBy>Ilex Kft</cp:lastModifiedBy>
  <dcterms:created xsi:type="dcterms:W3CDTF">2026-10-09T12:57:31Z</dcterms:created>
  <dcterms:modified xsi:type="dcterms:W3CDTF">2026-10-09T12:59:54Z</dcterms:modified>
</cp:coreProperties>
</file>