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I:\VT\JFK\Kontrolling\2025\Betegforgalom 2025\"/>
    </mc:Choice>
  </mc:AlternateContent>
  <xr:revisionPtr revIDLastSave="0" documentId="13_ncr:1_{153AFC72-E844-4023-BA1E-1929B404EBA7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2025 év" sheetId="4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48" l="1"/>
  <c r="C6" i="48"/>
  <c r="J24" i="48"/>
  <c r="H24" i="48"/>
  <c r="D15" i="48" l="1"/>
  <c r="G20" i="48"/>
  <c r="F20" i="48"/>
  <c r="E20" i="48"/>
  <c r="I19" i="48"/>
  <c r="I20" i="48"/>
  <c r="I21" i="48" s="1"/>
  <c r="G19" i="48"/>
  <c r="F19" i="48"/>
  <c r="E19" i="48"/>
  <c r="J23" i="48" l="1"/>
  <c r="D17" i="48" l="1"/>
  <c r="I13" i="48"/>
  <c r="G13" i="48"/>
  <c r="F13" i="48"/>
  <c r="E13" i="48"/>
  <c r="I10" i="48"/>
  <c r="E10" i="48"/>
  <c r="H10" i="48" s="1"/>
  <c r="I9" i="48"/>
  <c r="G9" i="48"/>
  <c r="F9" i="48"/>
  <c r="E9" i="48"/>
  <c r="H20" i="48"/>
  <c r="H19" i="48"/>
  <c r="H7" i="48"/>
  <c r="H8" i="48"/>
  <c r="H11" i="48"/>
  <c r="H12" i="48"/>
  <c r="H14" i="48"/>
  <c r="H15" i="48"/>
  <c r="H16" i="48"/>
  <c r="H17" i="48"/>
  <c r="C24" i="48"/>
  <c r="D20" i="48"/>
  <c r="C19" i="48"/>
  <c r="D19" i="48" s="1"/>
  <c r="H9" i="48" l="1"/>
  <c r="K17" i="48"/>
  <c r="H13" i="48"/>
  <c r="I6" i="48"/>
  <c r="G6" i="48"/>
  <c r="F6" i="48"/>
  <c r="E6" i="48"/>
  <c r="D16" i="48"/>
  <c r="J16" i="48" s="1"/>
  <c r="D14" i="48"/>
  <c r="D12" i="48"/>
  <c r="D11" i="48"/>
  <c r="D8" i="48"/>
  <c r="D7" i="48"/>
  <c r="D6" i="48"/>
  <c r="C10" i="48"/>
  <c r="D10" i="48" s="1"/>
  <c r="D13" i="48"/>
  <c r="C9" i="48"/>
  <c r="D9" i="48" s="1"/>
  <c r="J6" i="48" l="1"/>
  <c r="I18" i="48"/>
  <c r="I22" i="48" s="1"/>
  <c r="H6" i="48"/>
  <c r="L6" i="48" s="1"/>
  <c r="K6" i="48"/>
  <c r="H23" i="48"/>
  <c r="G21" i="48"/>
  <c r="F21" i="48"/>
  <c r="E21" i="48"/>
  <c r="D21" i="48"/>
  <c r="C21" i="48"/>
  <c r="J20" i="48"/>
  <c r="J19" i="48"/>
  <c r="G18" i="48"/>
  <c r="F18" i="48"/>
  <c r="E18" i="48"/>
  <c r="D18" i="48"/>
  <c r="C18" i="48"/>
  <c r="C22" i="48" s="1"/>
  <c r="J17" i="48"/>
  <c r="L17" i="48"/>
  <c r="L16" i="48"/>
  <c r="J15" i="48"/>
  <c r="J14" i="48"/>
  <c r="J13" i="48"/>
  <c r="L13" i="48"/>
  <c r="J12" i="48"/>
  <c r="L12" i="48"/>
  <c r="J11" i="48"/>
  <c r="J10" i="48"/>
  <c r="J9" i="48"/>
  <c r="L9" i="48"/>
  <c r="J8" i="48"/>
  <c r="L8" i="48"/>
  <c r="J7" i="48"/>
  <c r="D22" i="48" l="1"/>
  <c r="J18" i="48"/>
  <c r="F22" i="48"/>
  <c r="G22" i="48"/>
  <c r="E22" i="48"/>
  <c r="K23" i="48"/>
  <c r="L23" i="48"/>
  <c r="L19" i="48"/>
  <c r="K19" i="48"/>
  <c r="J21" i="48"/>
  <c r="K16" i="48"/>
  <c r="L14" i="48"/>
  <c r="K14" i="48"/>
  <c r="K12" i="48"/>
  <c r="K10" i="48"/>
  <c r="L10" i="48"/>
  <c r="K8" i="48"/>
  <c r="H18" i="48"/>
  <c r="K20" i="48"/>
  <c r="L20" i="48"/>
  <c r="K7" i="48"/>
  <c r="L7" i="48"/>
  <c r="K9" i="48"/>
  <c r="K11" i="48"/>
  <c r="L11" i="48"/>
  <c r="K13" i="48"/>
  <c r="K15" i="48"/>
  <c r="L15" i="48"/>
  <c r="H21" i="48"/>
  <c r="K24" i="48"/>
  <c r="L24" i="48"/>
  <c r="H22" i="48" l="1"/>
  <c r="J22" i="48"/>
  <c r="L21" i="48"/>
  <c r="K21" i="48"/>
  <c r="K18" i="48"/>
  <c r="L18" i="48"/>
  <c r="K22" i="48" l="1"/>
  <c r="L22" i="48"/>
</calcChain>
</file>

<file path=xl/sharedStrings.xml><?xml version="1.0" encoding="utf-8"?>
<sst xmlns="http://schemas.openxmlformats.org/spreadsheetml/2006/main" count="39" uniqueCount="39">
  <si>
    <t>Lehetséges ápolási napok (szerződött ágy)</t>
  </si>
  <si>
    <t>Kiírt betegek száma</t>
  </si>
  <si>
    <t>Havi összes ápolási nap</t>
  </si>
  <si>
    <t>Havi ápolás átlagos tartalma</t>
  </si>
  <si>
    <t>Halálozás %</t>
  </si>
  <si>
    <t>eltávozott</t>
  </si>
  <si>
    <t>áthelyezett</t>
  </si>
  <si>
    <t>meghalt</t>
  </si>
  <si>
    <t>Sebészet</t>
  </si>
  <si>
    <t>Szemészeti osztály</t>
  </si>
  <si>
    <t>Aktív ellátás összesen:</t>
  </si>
  <si>
    <t>Krónikus ellátás összesen:</t>
  </si>
  <si>
    <t xml:space="preserve">  Mindösszesen:</t>
  </si>
  <si>
    <t>Szakmakód</t>
  </si>
  <si>
    <t>Szakma</t>
  </si>
  <si>
    <t>2025 év</t>
  </si>
  <si>
    <t>01</t>
  </si>
  <si>
    <t>04</t>
  </si>
  <si>
    <t>05</t>
  </si>
  <si>
    <t>02</t>
  </si>
  <si>
    <t>06</t>
  </si>
  <si>
    <t>07</t>
  </si>
  <si>
    <t>09</t>
  </si>
  <si>
    <t>Belgyógyászat</t>
  </si>
  <si>
    <t>Kardiológia</t>
  </si>
  <si>
    <t>Szülészet-nőgyógyászat</t>
  </si>
  <si>
    <t>Csecsemő-és gyermekgyógyászat</t>
  </si>
  <si>
    <t>Fül-orr-gégegyógyászat</t>
  </si>
  <si>
    <t>Neurológia</t>
  </si>
  <si>
    <t>Urológia</t>
  </si>
  <si>
    <t>Aneszteziológiai és Intenzív Betegellátás</t>
  </si>
  <si>
    <t>Sürgősségi Betegellátás</t>
  </si>
  <si>
    <t>Pszichiátria</t>
  </si>
  <si>
    <t>Krónikus ellátás</t>
  </si>
  <si>
    <t>Rehabilitációs ellátás</t>
  </si>
  <si>
    <t>Újszülött ellátások</t>
  </si>
  <si>
    <t>Nappali ellátások</t>
  </si>
  <si>
    <t>Ágykihasz-náltság % (szerződött ágyra)</t>
  </si>
  <si>
    <t>Szerződött ágyak száma (átlag)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</si>
</sst>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E]yyyy/\ mmmm;@"/>
    <numFmt numFmtId="165" formatCode="#,##0.0"/>
    <numFmt numFmtId="166" formatCode="0.0%"/>
    <numFmt numFmtId="167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0" fontId="0" fillId="0" borderId="0" xfId="0" applyNumberFormat="1"/>
    <xf numFmtId="2" fontId="2" fillId="0" borderId="1" xfId="0" applyNumberFormat="1" applyFont="1" applyBorder="1" applyAlignment="1">
      <alignment horizontal="center"/>
    </xf>
    <xf numFmtId="2" fontId="0" fillId="0" borderId="0" xfId="0" applyNumberFormat="1"/>
    <xf numFmtId="10" fontId="2" fillId="0" borderId="1" xfId="0" applyNumberFormat="1" applyFont="1" applyBorder="1"/>
    <xf numFmtId="0" fontId="4" fillId="0" borderId="0" xfId="0" applyFont="1"/>
    <xf numFmtId="49" fontId="2" fillId="0" borderId="1" xfId="0" applyNumberFormat="1" applyFont="1" applyBorder="1" applyAlignment="1">
      <alignment horizontal="lef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3" fontId="0" fillId="0" borderId="1" xfId="0" applyNumberFormat="1" applyBorder="1"/>
    <xf numFmtId="3" fontId="0" fillId="2" borderId="1" xfId="0" applyNumberFormat="1" applyFill="1" applyBorder="1"/>
    <xf numFmtId="49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4" fillId="0" borderId="0" xfId="0" applyNumberFormat="1" applyFont="1"/>
    <xf numFmtId="10" fontId="4" fillId="0" borderId="0" xfId="0" applyNumberFormat="1" applyFont="1"/>
    <xf numFmtId="2" fontId="4" fillId="0" borderId="0" xfId="0" applyNumberFormat="1" applyFont="1"/>
    <xf numFmtId="165" fontId="4" fillId="0" borderId="0" xfId="0" applyNumberFormat="1" applyFont="1"/>
    <xf numFmtId="3" fontId="6" fillId="0" borderId="0" xfId="0" applyNumberFormat="1" applyFont="1"/>
    <xf numFmtId="165" fontId="6" fillId="0" borderId="0" xfId="0" applyNumberFormat="1" applyFont="1"/>
    <xf numFmtId="166" fontId="0" fillId="0" borderId="1" xfId="0" applyNumberFormat="1" applyBorder="1"/>
    <xf numFmtId="166" fontId="0" fillId="2" borderId="1" xfId="0" applyNumberForma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67" fontId="0" fillId="0" borderId="1" xfId="0" applyNumberFormat="1" applyFill="1" applyBorder="1"/>
    <xf numFmtId="9" fontId="0" fillId="0" borderId="1" xfId="0" applyNumberFormat="1" applyBorder="1"/>
    <xf numFmtId="9" fontId="0" fillId="2" borderId="1" xfId="0" applyNumberFormat="1" applyFill="1" applyBorder="1"/>
    <xf numFmtId="167" fontId="0" fillId="0" borderId="1" xfId="0" applyNumberFormat="1" applyBorder="1"/>
    <xf numFmtId="167" fontId="0" fillId="2" borderId="1" xfId="0" applyNumberForma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L34"/>
  <sheetViews>
    <sheetView tabSelected="1"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9" sqref="A9"/>
    </sheetView>
  </sheetViews>
  <sheetFormatPr defaultRowHeight="15" x14ac:dyDescent="0.25"/>
  <cols>
    <col min="1" max="1" width="12.85546875" style="1" customWidth="1"/>
    <col min="2" max="2" width="37.42578125" style="2" customWidth="1"/>
    <col min="3" max="3" width="10.85546875" customWidth="1"/>
    <col min="4" max="4" width="13.42578125" customWidth="1"/>
    <col min="5" max="5" width="10.140625" bestFit="1" customWidth="1"/>
    <col min="6" max="6" width="11.140625" bestFit="1" customWidth="1"/>
    <col min="7" max="7" width="8.42578125" bestFit="1" customWidth="1"/>
    <col min="8" max="8" width="9.85546875" customWidth="1"/>
    <col min="9" max="9" width="10.28515625" customWidth="1"/>
    <col min="10" max="10" width="12.140625" style="8" customWidth="1"/>
    <col min="11" max="11" width="12.42578125" style="10" customWidth="1"/>
    <col min="12" max="12" width="12.7109375" style="8" customWidth="1"/>
  </cols>
  <sheetData>
    <row r="1" spans="1:12" ht="15.75" x14ac:dyDescent="0.25">
      <c r="A1" s="36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5.75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5"/>
      <c r="B3" s="6"/>
      <c r="C3" s="6"/>
      <c r="D3" s="6"/>
      <c r="E3" s="6"/>
      <c r="F3" s="6"/>
      <c r="G3" s="6"/>
      <c r="H3" s="6"/>
      <c r="I3" s="6"/>
      <c r="J3" s="7"/>
      <c r="K3" s="9"/>
      <c r="L3" s="11"/>
    </row>
    <row r="4" spans="1:12" ht="15" customHeight="1" x14ac:dyDescent="0.25">
      <c r="A4" s="35" t="s">
        <v>13</v>
      </c>
      <c r="B4" s="35" t="s">
        <v>14</v>
      </c>
      <c r="C4" s="35" t="s">
        <v>38</v>
      </c>
      <c r="D4" s="35" t="s">
        <v>0</v>
      </c>
      <c r="E4" s="38"/>
      <c r="F4" s="38"/>
      <c r="G4" s="38"/>
      <c r="H4" s="35" t="s">
        <v>1</v>
      </c>
      <c r="I4" s="35" t="s">
        <v>2</v>
      </c>
      <c r="J4" s="34" t="s">
        <v>37</v>
      </c>
      <c r="K4" s="33" t="s">
        <v>3</v>
      </c>
      <c r="L4" s="34" t="s">
        <v>4</v>
      </c>
    </row>
    <row r="5" spans="1:12" ht="59.25" customHeight="1" x14ac:dyDescent="0.25">
      <c r="A5" s="35"/>
      <c r="B5" s="35"/>
      <c r="C5" s="35"/>
      <c r="D5" s="35"/>
      <c r="E5" s="15" t="s">
        <v>5</v>
      </c>
      <c r="F5" s="15" t="s">
        <v>6</v>
      </c>
      <c r="G5" s="15" t="s">
        <v>7</v>
      </c>
      <c r="H5" s="35"/>
      <c r="I5" s="35"/>
      <c r="J5" s="34"/>
      <c r="K5" s="33"/>
      <c r="L5" s="34"/>
    </row>
    <row r="6" spans="1:12" x14ac:dyDescent="0.25">
      <c r="A6" s="16" t="s">
        <v>16</v>
      </c>
      <c r="B6" s="13" t="s">
        <v>23</v>
      </c>
      <c r="C6" s="39">
        <f>60+((7*25)+(5*10))/12</f>
        <v>78.75</v>
      </c>
      <c r="D6" s="17">
        <f t="shared" ref="D6:D17" si="0">365*C6</f>
        <v>28743.75</v>
      </c>
      <c r="E6" s="17">
        <f>1062+865+825</f>
        <v>2752</v>
      </c>
      <c r="F6" s="17">
        <f>281+202+150</f>
        <v>633</v>
      </c>
      <c r="G6" s="17">
        <f>301+141+186</f>
        <v>628</v>
      </c>
      <c r="H6" s="17">
        <f>+E6+F6+G6</f>
        <v>4013</v>
      </c>
      <c r="I6" s="17">
        <f>15554.5+10714.5+10639.5</f>
        <v>36908.5</v>
      </c>
      <c r="J6" s="40">
        <f t="shared" ref="J6:J17" si="1">IFERROR(+I6/D6,"")</f>
        <v>1.2840530550119591</v>
      </c>
      <c r="K6" s="42">
        <f t="shared" ref="K6:K17" si="2">IFERROR(+I6/H6,"")</f>
        <v>9.1972339895340145</v>
      </c>
      <c r="L6" s="29">
        <f t="shared" ref="L6:L17" si="3">IFERROR(+G6/H6,"")</f>
        <v>0.15649140294044356</v>
      </c>
    </row>
    <row r="7" spans="1:12" x14ac:dyDescent="0.25">
      <c r="A7" s="16">
        <v>40</v>
      </c>
      <c r="B7" s="13" t="s">
        <v>24</v>
      </c>
      <c r="C7" s="14">
        <v>56</v>
      </c>
      <c r="D7" s="17">
        <f t="shared" si="0"/>
        <v>20440</v>
      </c>
      <c r="E7" s="17">
        <v>833</v>
      </c>
      <c r="F7" s="17">
        <v>173</v>
      </c>
      <c r="G7" s="17">
        <v>160</v>
      </c>
      <c r="H7" s="17">
        <f t="shared" ref="H7:H20" si="4">+E7+F7+G7</f>
        <v>1166</v>
      </c>
      <c r="I7" s="17">
        <v>11038.5</v>
      </c>
      <c r="J7" s="40">
        <f t="shared" si="1"/>
        <v>0.54004403131115464</v>
      </c>
      <c r="K7" s="42">
        <f t="shared" si="2"/>
        <v>9.4669811320754711</v>
      </c>
      <c r="L7" s="29">
        <f t="shared" si="3"/>
        <v>0.137221269296741</v>
      </c>
    </row>
    <row r="8" spans="1:12" x14ac:dyDescent="0.25">
      <c r="A8" s="16" t="s">
        <v>19</v>
      </c>
      <c r="B8" s="13" t="s">
        <v>8</v>
      </c>
      <c r="C8" s="14">
        <v>65</v>
      </c>
      <c r="D8" s="17">
        <f t="shared" si="0"/>
        <v>23725</v>
      </c>
      <c r="E8" s="17">
        <v>2230</v>
      </c>
      <c r="F8" s="17">
        <v>162</v>
      </c>
      <c r="G8" s="17">
        <v>88</v>
      </c>
      <c r="H8" s="17">
        <f t="shared" si="4"/>
        <v>2480</v>
      </c>
      <c r="I8" s="17">
        <v>12596.5</v>
      </c>
      <c r="J8" s="40">
        <f t="shared" si="1"/>
        <v>0.53093782929399369</v>
      </c>
      <c r="K8" s="42">
        <f t="shared" si="2"/>
        <v>5.0792338709677418</v>
      </c>
      <c r="L8" s="29">
        <f t="shared" si="3"/>
        <v>3.5483870967741936E-2</v>
      </c>
    </row>
    <row r="9" spans="1:12" x14ac:dyDescent="0.25">
      <c r="A9" s="16" t="s">
        <v>17</v>
      </c>
      <c r="B9" s="13" t="s">
        <v>25</v>
      </c>
      <c r="C9" s="14">
        <f>15+37</f>
        <v>52</v>
      </c>
      <c r="D9" s="17">
        <f t="shared" si="0"/>
        <v>18980</v>
      </c>
      <c r="E9" s="17">
        <f>1487+2819</f>
        <v>4306</v>
      </c>
      <c r="F9" s="17">
        <f>7+8</f>
        <v>15</v>
      </c>
      <c r="G9" s="17">
        <f>5+6</f>
        <v>11</v>
      </c>
      <c r="H9" s="17">
        <f t="shared" si="4"/>
        <v>4332</v>
      </c>
      <c r="I9" s="17">
        <f>2106.5+7706.5</f>
        <v>9813</v>
      </c>
      <c r="J9" s="40">
        <f t="shared" si="1"/>
        <v>0.51701791359325611</v>
      </c>
      <c r="K9" s="42">
        <f t="shared" si="2"/>
        <v>2.2652354570637119</v>
      </c>
      <c r="L9" s="29">
        <f t="shared" si="3"/>
        <v>2.5392428439519853E-3</v>
      </c>
    </row>
    <row r="10" spans="1:12" x14ac:dyDescent="0.25">
      <c r="A10" s="16" t="s">
        <v>18</v>
      </c>
      <c r="B10" s="13" t="s">
        <v>26</v>
      </c>
      <c r="C10" s="14">
        <f>5+20</f>
        <v>25</v>
      </c>
      <c r="D10" s="17">
        <f t="shared" si="0"/>
        <v>9125</v>
      </c>
      <c r="E10" s="17">
        <f>288+25</f>
        <v>313</v>
      </c>
      <c r="F10" s="17">
        <v>0</v>
      </c>
      <c r="G10" s="17">
        <v>0</v>
      </c>
      <c r="H10" s="17">
        <f t="shared" si="4"/>
        <v>313</v>
      </c>
      <c r="I10" s="17">
        <f>5098.5+51</f>
        <v>5149.5</v>
      </c>
      <c r="J10" s="40">
        <f t="shared" si="1"/>
        <v>0.56432876712328772</v>
      </c>
      <c r="K10" s="42">
        <f t="shared" si="2"/>
        <v>16.452076677316295</v>
      </c>
      <c r="L10" s="29">
        <f t="shared" si="3"/>
        <v>0</v>
      </c>
    </row>
    <row r="11" spans="1:12" x14ac:dyDescent="0.25">
      <c r="A11" s="16" t="s">
        <v>20</v>
      </c>
      <c r="B11" s="13" t="s">
        <v>27</v>
      </c>
      <c r="C11" s="14">
        <v>20</v>
      </c>
      <c r="D11" s="17">
        <f t="shared" si="0"/>
        <v>7300</v>
      </c>
      <c r="E11" s="17">
        <v>1770</v>
      </c>
      <c r="F11" s="17">
        <v>15</v>
      </c>
      <c r="G11" s="17">
        <v>10</v>
      </c>
      <c r="H11" s="17">
        <f t="shared" si="4"/>
        <v>1795</v>
      </c>
      <c r="I11" s="17">
        <v>4276</v>
      </c>
      <c r="J11" s="40">
        <f t="shared" si="1"/>
        <v>0.58575342465753422</v>
      </c>
      <c r="K11" s="42">
        <f t="shared" si="2"/>
        <v>2.3821727019498606</v>
      </c>
      <c r="L11" s="29">
        <f t="shared" si="3"/>
        <v>5.5710306406685237E-3</v>
      </c>
    </row>
    <row r="12" spans="1:12" x14ac:dyDescent="0.25">
      <c r="A12" s="16" t="s">
        <v>21</v>
      </c>
      <c r="B12" s="13" t="s">
        <v>9</v>
      </c>
      <c r="C12" s="14">
        <v>15</v>
      </c>
      <c r="D12" s="17">
        <f t="shared" si="0"/>
        <v>5475</v>
      </c>
      <c r="E12" s="17">
        <v>3242</v>
      </c>
      <c r="F12" s="17">
        <v>0</v>
      </c>
      <c r="G12" s="17">
        <v>0</v>
      </c>
      <c r="H12" s="17">
        <f t="shared" si="4"/>
        <v>3242</v>
      </c>
      <c r="I12" s="17">
        <v>848</v>
      </c>
      <c r="J12" s="40">
        <f t="shared" si="1"/>
        <v>0.15488584474885844</v>
      </c>
      <c r="K12" s="42">
        <f t="shared" si="2"/>
        <v>0.26156693399136338</v>
      </c>
      <c r="L12" s="29">
        <f t="shared" si="3"/>
        <v>0</v>
      </c>
    </row>
    <row r="13" spans="1:12" x14ac:dyDescent="0.25">
      <c r="A13" s="16" t="s">
        <v>22</v>
      </c>
      <c r="B13" s="13" t="s">
        <v>28</v>
      </c>
      <c r="C13" s="14">
        <v>67</v>
      </c>
      <c r="D13" s="17">
        <f t="shared" si="0"/>
        <v>24455</v>
      </c>
      <c r="E13" s="17">
        <f>92+2069</f>
        <v>2161</v>
      </c>
      <c r="F13" s="17">
        <f>41+370</f>
        <v>411</v>
      </c>
      <c r="G13" s="17">
        <f>11+112</f>
        <v>123</v>
      </c>
      <c r="H13" s="17">
        <f t="shared" si="4"/>
        <v>2695</v>
      </c>
      <c r="I13" s="17">
        <f>1104.5+16132</f>
        <v>17236.5</v>
      </c>
      <c r="J13" s="40">
        <f t="shared" si="1"/>
        <v>0.70482518912287873</v>
      </c>
      <c r="K13" s="42">
        <f t="shared" si="2"/>
        <v>6.3957328385899812</v>
      </c>
      <c r="L13" s="29">
        <f t="shared" si="3"/>
        <v>4.5640074211502783E-2</v>
      </c>
    </row>
    <row r="14" spans="1:12" x14ac:dyDescent="0.25">
      <c r="A14" s="16">
        <v>11</v>
      </c>
      <c r="B14" s="13" t="s">
        <v>29</v>
      </c>
      <c r="C14" s="14">
        <v>45</v>
      </c>
      <c r="D14" s="17">
        <f t="shared" si="0"/>
        <v>16425</v>
      </c>
      <c r="E14" s="17">
        <v>3419</v>
      </c>
      <c r="F14" s="17">
        <v>47</v>
      </c>
      <c r="G14" s="17">
        <v>12</v>
      </c>
      <c r="H14" s="17">
        <f t="shared" si="4"/>
        <v>3478</v>
      </c>
      <c r="I14" s="17">
        <v>11050</v>
      </c>
      <c r="J14" s="40">
        <f t="shared" si="1"/>
        <v>0.67275494672754943</v>
      </c>
      <c r="K14" s="42">
        <f t="shared" si="2"/>
        <v>3.1771132834962623</v>
      </c>
      <c r="L14" s="29">
        <f t="shared" si="3"/>
        <v>3.4502587694077054E-3</v>
      </c>
    </row>
    <row r="15" spans="1:12" x14ac:dyDescent="0.25">
      <c r="A15" s="16">
        <v>15</v>
      </c>
      <c r="B15" s="13" t="s">
        <v>30</v>
      </c>
      <c r="C15" s="39">
        <f>+((258*14)+(107*7))/365</f>
        <v>11.947945205479453</v>
      </c>
      <c r="D15" s="17">
        <f t="shared" si="0"/>
        <v>4361</v>
      </c>
      <c r="E15" s="17">
        <v>50</v>
      </c>
      <c r="F15" s="17">
        <v>160</v>
      </c>
      <c r="G15" s="17">
        <v>111</v>
      </c>
      <c r="H15" s="17">
        <f t="shared" si="4"/>
        <v>321</v>
      </c>
      <c r="I15" s="17">
        <v>2804.5</v>
      </c>
      <c r="J15" s="40">
        <f t="shared" si="1"/>
        <v>0.64308644806237103</v>
      </c>
      <c r="K15" s="42">
        <f t="shared" si="2"/>
        <v>8.7367601246105924</v>
      </c>
      <c r="L15" s="29">
        <f t="shared" si="3"/>
        <v>0.34579439252336447</v>
      </c>
    </row>
    <row r="16" spans="1:12" x14ac:dyDescent="0.25">
      <c r="A16" s="16">
        <v>46</v>
      </c>
      <c r="B16" s="13" t="s">
        <v>31</v>
      </c>
      <c r="C16" s="14">
        <v>12</v>
      </c>
      <c r="D16" s="17">
        <f t="shared" si="0"/>
        <v>4380</v>
      </c>
      <c r="E16" s="17">
        <v>3125</v>
      </c>
      <c r="F16" s="17">
        <v>0</v>
      </c>
      <c r="G16" s="17">
        <v>212</v>
      </c>
      <c r="H16" s="17">
        <f t="shared" si="4"/>
        <v>3337</v>
      </c>
      <c r="I16" s="17">
        <v>893.5</v>
      </c>
      <c r="J16" s="40">
        <f t="shared" si="1"/>
        <v>0.20399543378995433</v>
      </c>
      <c r="K16" s="42">
        <f t="shared" si="2"/>
        <v>0.26775546898411745</v>
      </c>
      <c r="L16" s="29">
        <f t="shared" si="3"/>
        <v>6.3530116871441417E-2</v>
      </c>
    </row>
    <row r="17" spans="1:12" x14ac:dyDescent="0.25">
      <c r="A17" s="16">
        <v>18</v>
      </c>
      <c r="B17" s="13" t="s">
        <v>32</v>
      </c>
      <c r="C17" s="14">
        <v>29</v>
      </c>
      <c r="D17" s="17">
        <f t="shared" si="0"/>
        <v>10585</v>
      </c>
      <c r="E17" s="17">
        <v>916</v>
      </c>
      <c r="F17" s="17">
        <v>499</v>
      </c>
      <c r="G17" s="17">
        <v>14</v>
      </c>
      <c r="H17" s="17">
        <f t="shared" si="4"/>
        <v>1429</v>
      </c>
      <c r="I17" s="17">
        <v>18098.5</v>
      </c>
      <c r="J17" s="40">
        <f t="shared" si="1"/>
        <v>1.7098252243741143</v>
      </c>
      <c r="K17" s="42">
        <f t="shared" si="2"/>
        <v>12.665150454863541</v>
      </c>
      <c r="L17" s="29">
        <f t="shared" si="3"/>
        <v>9.7970608817354796E-3</v>
      </c>
    </row>
    <row r="18" spans="1:12" x14ac:dyDescent="0.25">
      <c r="A18" s="31" t="s">
        <v>10</v>
      </c>
      <c r="B18" s="32"/>
      <c r="C18" s="18">
        <f t="shared" ref="C18:I18" si="5">SUM(C6:C17)</f>
        <v>476.69794520547947</v>
      </c>
      <c r="D18" s="18">
        <f t="shared" si="5"/>
        <v>173994.75</v>
      </c>
      <c r="E18" s="18">
        <f t="shared" si="5"/>
        <v>25117</v>
      </c>
      <c r="F18" s="18">
        <f t="shared" si="5"/>
        <v>2115</v>
      </c>
      <c r="G18" s="18">
        <f t="shared" si="5"/>
        <v>1369</v>
      </c>
      <c r="H18" s="18">
        <f t="shared" si="5"/>
        <v>28601</v>
      </c>
      <c r="I18" s="18">
        <f t="shared" si="5"/>
        <v>130713</v>
      </c>
      <c r="J18" s="41">
        <f>+I18/D18</f>
        <v>0.75124680486049145</v>
      </c>
      <c r="K18" s="43">
        <f>+I18/H18</f>
        <v>4.57022481731408</v>
      </c>
      <c r="L18" s="30">
        <f>+G18/H18</f>
        <v>4.7865459249676584E-2</v>
      </c>
    </row>
    <row r="19" spans="1:12" x14ac:dyDescent="0.25">
      <c r="A19" s="16"/>
      <c r="B19" s="13" t="s">
        <v>33</v>
      </c>
      <c r="C19" s="14">
        <f>59+15+60+15+2+3+25</f>
        <v>179</v>
      </c>
      <c r="D19" s="17">
        <f>365*C19</f>
        <v>65335</v>
      </c>
      <c r="E19" s="17">
        <f>137+116+143+103+1+16+126</f>
        <v>642</v>
      </c>
      <c r="F19" s="17">
        <f>27+114+10+55+5+6+90</f>
        <v>307</v>
      </c>
      <c r="G19" s="17">
        <f>237+77+190+42+1+4+94</f>
        <v>645</v>
      </c>
      <c r="H19" s="17">
        <f t="shared" si="4"/>
        <v>1594</v>
      </c>
      <c r="I19" s="17">
        <f>17537+4232+21166+2449+256.5+538+7370</f>
        <v>53548.5</v>
      </c>
      <c r="J19" s="40">
        <f>IFERROR(+I19/D19,"")</f>
        <v>0.81959898982168822</v>
      </c>
      <c r="K19" s="42">
        <f>IFERROR(+I19/H19,"")</f>
        <v>33.593789209535757</v>
      </c>
      <c r="L19" s="29">
        <f>IFERROR(+G19/H19,"")</f>
        <v>0.40464240903387705</v>
      </c>
    </row>
    <row r="20" spans="1:12" x14ac:dyDescent="0.25">
      <c r="A20" s="16"/>
      <c r="B20" s="13" t="s">
        <v>34</v>
      </c>
      <c r="C20" s="14">
        <v>246</v>
      </c>
      <c r="D20" s="17">
        <f>365*C20</f>
        <v>89790</v>
      </c>
      <c r="E20" s="17">
        <f>144+690+530</f>
        <v>1364</v>
      </c>
      <c r="F20" s="17">
        <f>9+33+19</f>
        <v>61</v>
      </c>
      <c r="G20" s="17">
        <f>6+2+17</f>
        <v>25</v>
      </c>
      <c r="H20" s="17">
        <f t="shared" si="4"/>
        <v>1450</v>
      </c>
      <c r="I20" s="17">
        <f>6862+18158.5+17822</f>
        <v>42842.5</v>
      </c>
      <c r="J20" s="40">
        <f>IFERROR(+I20/D20,"")</f>
        <v>0.47714110702750862</v>
      </c>
      <c r="K20" s="42">
        <f>IFERROR(+I20/H20,"")</f>
        <v>29.546551724137931</v>
      </c>
      <c r="L20" s="29">
        <f>IFERROR(+G20/H20,"")</f>
        <v>1.7241379310344827E-2</v>
      </c>
    </row>
    <row r="21" spans="1:12" x14ac:dyDescent="0.25">
      <c r="A21" s="31" t="s">
        <v>11</v>
      </c>
      <c r="B21" s="32"/>
      <c r="C21" s="18">
        <f t="shared" ref="C21:I21" si="6">SUM(C19:C20)</f>
        <v>425</v>
      </c>
      <c r="D21" s="18">
        <f t="shared" si="6"/>
        <v>155125</v>
      </c>
      <c r="E21" s="18">
        <f t="shared" si="6"/>
        <v>2006</v>
      </c>
      <c r="F21" s="18">
        <f t="shared" si="6"/>
        <v>368</v>
      </c>
      <c r="G21" s="18">
        <f t="shared" si="6"/>
        <v>670</v>
      </c>
      <c r="H21" s="18">
        <f t="shared" si="6"/>
        <v>3044</v>
      </c>
      <c r="I21" s="18">
        <f t="shared" si="6"/>
        <v>96391</v>
      </c>
      <c r="J21" s="41">
        <f>+I21/D21</f>
        <v>0.62137630942788069</v>
      </c>
      <c r="K21" s="43">
        <f>+I21/H21</f>
        <v>31.665900131406044</v>
      </c>
      <c r="L21" s="30">
        <f>+G21/H21</f>
        <v>0.22010512483574243</v>
      </c>
    </row>
    <row r="22" spans="1:12" x14ac:dyDescent="0.25">
      <c r="A22" s="31" t="s">
        <v>12</v>
      </c>
      <c r="B22" s="32"/>
      <c r="C22" s="18">
        <f>+C18+C21</f>
        <v>901.69794520547953</v>
      </c>
      <c r="D22" s="18">
        <f t="shared" ref="D22:H22" si="7">+D18+D21</f>
        <v>329119.75</v>
      </c>
      <c r="E22" s="18">
        <f t="shared" si="7"/>
        <v>27123</v>
      </c>
      <c r="F22" s="18">
        <f t="shared" si="7"/>
        <v>2483</v>
      </c>
      <c r="G22" s="18">
        <f t="shared" si="7"/>
        <v>2039</v>
      </c>
      <c r="H22" s="18">
        <f t="shared" si="7"/>
        <v>31645</v>
      </c>
      <c r="I22" s="18">
        <f>+I18+I21</f>
        <v>227104</v>
      </c>
      <c r="J22" s="41">
        <f>+I22/D22</f>
        <v>0.69003455429216876</v>
      </c>
      <c r="K22" s="43">
        <f>+I22/H22</f>
        <v>7.1766155790804236</v>
      </c>
      <c r="L22" s="30">
        <f>+G22/H22</f>
        <v>6.4433559804076473E-2</v>
      </c>
    </row>
    <row r="23" spans="1:12" x14ac:dyDescent="0.25">
      <c r="A23" s="16"/>
      <c r="B23" s="13" t="s">
        <v>35</v>
      </c>
      <c r="C23" s="14"/>
      <c r="D23" s="17"/>
      <c r="E23" s="17">
        <v>1666</v>
      </c>
      <c r="F23" s="17">
        <v>192</v>
      </c>
      <c r="G23" s="17">
        <v>0</v>
      </c>
      <c r="H23" s="17">
        <f t="shared" ref="H23" si="8">+E23+F23+G23</f>
        <v>1858</v>
      </c>
      <c r="I23" s="17">
        <v>6138</v>
      </c>
      <c r="J23" s="40" t="str">
        <f>IFERROR(+I23/D23,"")</f>
        <v/>
      </c>
      <c r="K23" s="42">
        <f>IFERROR(+I23/H23,"")</f>
        <v>3.3035522066738428</v>
      </c>
      <c r="L23" s="29">
        <f>IFERROR(+G23/H23,"")</f>
        <v>0</v>
      </c>
    </row>
    <row r="24" spans="1:12" x14ac:dyDescent="0.25">
      <c r="A24" s="16"/>
      <c r="B24" s="13" t="s">
        <v>36</v>
      </c>
      <c r="C24" s="14">
        <f>12+24+25</f>
        <v>61</v>
      </c>
      <c r="D24" s="17">
        <v>16182</v>
      </c>
      <c r="E24" s="17">
        <v>332</v>
      </c>
      <c r="F24" s="17">
        <v>4</v>
      </c>
      <c r="G24" s="17">
        <v>0</v>
      </c>
      <c r="H24" s="17">
        <f>+E24+F24+G24</f>
        <v>336</v>
      </c>
      <c r="I24" s="17">
        <v>9392</v>
      </c>
      <c r="J24" s="40">
        <f>IFERROR(+I24/D24,"")</f>
        <v>0.58039797305648255</v>
      </c>
      <c r="K24" s="42">
        <f>IFERROR(+I24/H24,"")</f>
        <v>27.952380952380953</v>
      </c>
      <c r="L24" s="29">
        <f>IFERROR(+G24/H24,"")</f>
        <v>0</v>
      </c>
    </row>
    <row r="25" spans="1:12" x14ac:dyDescent="0.25">
      <c r="B25" s="19"/>
      <c r="E25" s="27"/>
      <c r="F25" s="27"/>
      <c r="G25" s="27"/>
      <c r="H25" s="27"/>
      <c r="I25" s="28"/>
    </row>
    <row r="26" spans="1:12" x14ac:dyDescent="0.25">
      <c r="B26" s="19"/>
      <c r="E26" s="27"/>
      <c r="F26" s="27"/>
      <c r="G26" s="27"/>
      <c r="H26" s="27"/>
      <c r="I26" s="28"/>
    </row>
    <row r="27" spans="1:12" x14ac:dyDescent="0.25">
      <c r="B27" s="19"/>
      <c r="E27" s="20"/>
      <c r="F27" s="20"/>
      <c r="G27" s="20"/>
      <c r="H27" s="20"/>
      <c r="I27" s="21"/>
    </row>
    <row r="28" spans="1:12" x14ac:dyDescent="0.25">
      <c r="B28" s="19"/>
      <c r="D28" s="22"/>
    </row>
    <row r="29" spans="1:12" x14ac:dyDescent="0.25">
      <c r="D29" s="20"/>
      <c r="I29" s="21"/>
    </row>
    <row r="30" spans="1:12" x14ac:dyDescent="0.25">
      <c r="D30" s="20"/>
      <c r="I30" s="21"/>
    </row>
    <row r="31" spans="1:12" x14ac:dyDescent="0.25">
      <c r="D31" s="20"/>
      <c r="I31" s="21"/>
    </row>
    <row r="32" spans="1:12" s="12" customFormat="1" x14ac:dyDescent="0.25">
      <c r="A32" s="3"/>
      <c r="B32" s="4"/>
      <c r="D32" s="23"/>
      <c r="E32" s="23"/>
      <c r="F32" s="23"/>
      <c r="G32" s="23"/>
      <c r="H32" s="23"/>
      <c r="I32" s="26"/>
      <c r="J32" s="24"/>
      <c r="K32" s="25"/>
      <c r="L32" s="24"/>
    </row>
    <row r="34" spans="4:4" x14ac:dyDescent="0.25">
      <c r="D34" s="10"/>
    </row>
  </sheetData>
  <mergeCells count="15">
    <mergeCell ref="A1:L1"/>
    <mergeCell ref="A2:L2"/>
    <mergeCell ref="A4:A5"/>
    <mergeCell ref="B4:B5"/>
    <mergeCell ref="C4:C5"/>
    <mergeCell ref="D4:D5"/>
    <mergeCell ref="E4:G4"/>
    <mergeCell ref="H4:H5"/>
    <mergeCell ref="J4:J5"/>
    <mergeCell ref="A22:B22"/>
    <mergeCell ref="K4:K5"/>
    <mergeCell ref="L4:L5"/>
    <mergeCell ref="A18:B18"/>
    <mergeCell ref="A21:B21"/>
    <mergeCell ref="I4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 év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Felhasznalo</dc:creator>
  <cp:lastModifiedBy>Ilex Kft</cp:lastModifiedBy>
  <dcterms:created xsi:type="dcterms:W3CDTF">2019-07-02T11:39:47Z</dcterms:created>
  <dcterms:modified xsi:type="dcterms:W3CDTF">2026-03-12T08:38:25Z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4cb07a2e-5c6c-4fed-87c0-6ed78d8ab42e</vt:lpwstr>
  </property>
</Properties>
</file>