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I:\VT\JFK\Kontrolling\2026\Betegforgalom_2026\"/>
    </mc:Choice>
  </mc:AlternateContent>
  <xr:revisionPtr revIDLastSave="0" documentId="13_ncr:1_{DB294ABD-8DEF-476C-AA54-6DB9B6CE16D2}" xr6:coauthVersionLast="47" xr6:coauthVersionMax="47" xr10:uidLastSave="{00000000-0000-0000-0000-000000000000}"/>
  <bookViews>
    <workbookView xWindow="25080" yWindow="-120" windowWidth="25440" windowHeight="15390" tabRatio="875" xr2:uid="{00000000-000D-0000-FFFF-FFFF00000000}"/>
  </bookViews>
  <sheets>
    <sheet name="2026_1-3 hó" sheetId="54" r:id="rId1"/>
    <sheet name="2026_4-6 hó" sheetId="5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54" l="1"/>
  <c r="C20" i="53"/>
  <c r="I24" i="54"/>
  <c r="J24" i="54" s="1"/>
  <c r="E24" i="54"/>
  <c r="H24" i="54" s="1"/>
  <c r="L24" i="54" s="1"/>
  <c r="D24" i="54"/>
  <c r="C24" i="54"/>
  <c r="J23" i="54"/>
  <c r="H23" i="54"/>
  <c r="K23" i="54" s="1"/>
  <c r="I20" i="54"/>
  <c r="G20" i="54"/>
  <c r="F20" i="54"/>
  <c r="E20" i="54"/>
  <c r="I19" i="54"/>
  <c r="I21" i="54" s="1"/>
  <c r="G19" i="54"/>
  <c r="F19" i="54"/>
  <c r="E19" i="54"/>
  <c r="C19" i="54"/>
  <c r="H17" i="54"/>
  <c r="L17" i="54" s="1"/>
  <c r="D17" i="54"/>
  <c r="J17" i="54" s="1"/>
  <c r="H16" i="54"/>
  <c r="K16" i="54" s="1"/>
  <c r="D16" i="54"/>
  <c r="J16" i="54" s="1"/>
  <c r="H15" i="54"/>
  <c r="K15" i="54" s="1"/>
  <c r="D15" i="54"/>
  <c r="J15" i="54" s="1"/>
  <c r="H14" i="54"/>
  <c r="L14" i="54" s="1"/>
  <c r="D14" i="54"/>
  <c r="J14" i="54" s="1"/>
  <c r="I13" i="54"/>
  <c r="J13" i="54" s="1"/>
  <c r="G13" i="54"/>
  <c r="F13" i="54"/>
  <c r="E13" i="54"/>
  <c r="D13" i="54"/>
  <c r="H12" i="54"/>
  <c r="K12" i="54" s="1"/>
  <c r="D12" i="54"/>
  <c r="J12" i="54" s="1"/>
  <c r="H11" i="54"/>
  <c r="L11" i="54" s="1"/>
  <c r="D11" i="54"/>
  <c r="J11" i="54" s="1"/>
  <c r="I10" i="54"/>
  <c r="E10" i="54"/>
  <c r="H10" i="54" s="1"/>
  <c r="C10" i="54"/>
  <c r="I9" i="54"/>
  <c r="G9" i="54"/>
  <c r="E9" i="54"/>
  <c r="C9" i="54"/>
  <c r="K8" i="54"/>
  <c r="H8" i="54"/>
  <c r="L8" i="54" s="1"/>
  <c r="D8" i="54"/>
  <c r="J8" i="54" s="1"/>
  <c r="H7" i="54"/>
  <c r="K7" i="54" s="1"/>
  <c r="D7" i="54"/>
  <c r="J7" i="54" s="1"/>
  <c r="I6" i="54"/>
  <c r="G6" i="54"/>
  <c r="F6" i="54"/>
  <c r="E6" i="54"/>
  <c r="C6" i="54"/>
  <c r="I24" i="53"/>
  <c r="E24" i="53"/>
  <c r="H24" i="53" s="1"/>
  <c r="L24" i="53" s="1"/>
  <c r="D24" i="53"/>
  <c r="C24" i="53"/>
  <c r="J23" i="53"/>
  <c r="H23" i="53"/>
  <c r="L23" i="53" s="1"/>
  <c r="I20" i="53"/>
  <c r="K20" i="53" s="1"/>
  <c r="G20" i="53"/>
  <c r="F20" i="53"/>
  <c r="H20" i="53" s="1"/>
  <c r="L20" i="53" s="1"/>
  <c r="E20" i="53"/>
  <c r="I19" i="53"/>
  <c r="G19" i="53"/>
  <c r="F19" i="53"/>
  <c r="F21" i="53" s="1"/>
  <c r="E19" i="53"/>
  <c r="E21" i="53" s="1"/>
  <c r="C19" i="53"/>
  <c r="D19" i="53" s="1"/>
  <c r="H17" i="53"/>
  <c r="K17" i="53" s="1"/>
  <c r="D17" i="53"/>
  <c r="J17" i="53" s="1"/>
  <c r="H16" i="53"/>
  <c r="L16" i="53" s="1"/>
  <c r="D16" i="53"/>
  <c r="J16" i="53" s="1"/>
  <c r="H15" i="53"/>
  <c r="K15" i="53" s="1"/>
  <c r="C15" i="53"/>
  <c r="D15" i="53" s="1"/>
  <c r="J15" i="53" s="1"/>
  <c r="H14" i="53"/>
  <c r="K14" i="53" s="1"/>
  <c r="D14" i="53"/>
  <c r="J14" i="53" s="1"/>
  <c r="I13" i="53"/>
  <c r="F13" i="53"/>
  <c r="E13" i="53"/>
  <c r="D13" i="53"/>
  <c r="H12" i="53"/>
  <c r="K12" i="53" s="1"/>
  <c r="D12" i="53"/>
  <c r="J12" i="53" s="1"/>
  <c r="H11" i="53"/>
  <c r="L11" i="53" s="1"/>
  <c r="D11" i="53"/>
  <c r="J11" i="53" s="1"/>
  <c r="I10" i="53"/>
  <c r="E10" i="53"/>
  <c r="H10" i="53" s="1"/>
  <c r="C10" i="53"/>
  <c r="D10" i="53" s="1"/>
  <c r="I9" i="53"/>
  <c r="G9" i="53"/>
  <c r="E9" i="53"/>
  <c r="C9" i="53"/>
  <c r="D9" i="53" s="1"/>
  <c r="H8" i="53"/>
  <c r="L8" i="53" s="1"/>
  <c r="D8" i="53"/>
  <c r="J8" i="53" s="1"/>
  <c r="H7" i="53"/>
  <c r="K7" i="53" s="1"/>
  <c r="D7" i="53"/>
  <c r="J7" i="53" s="1"/>
  <c r="I6" i="53"/>
  <c r="G6" i="53"/>
  <c r="F6" i="53"/>
  <c r="E6" i="53"/>
  <c r="C6" i="53"/>
  <c r="H9" i="54" l="1"/>
  <c r="L9" i="54" s="1"/>
  <c r="H6" i="54"/>
  <c r="L6" i="54" s="1"/>
  <c r="D20" i="54"/>
  <c r="D10" i="54"/>
  <c r="J10" i="54" s="1"/>
  <c r="K14" i="54"/>
  <c r="L15" i="54"/>
  <c r="C18" i="54"/>
  <c r="C21" i="54"/>
  <c r="D6" i="54"/>
  <c r="L7" i="54"/>
  <c r="E21" i="54"/>
  <c r="J6" i="54"/>
  <c r="H13" i="54"/>
  <c r="K13" i="54" s="1"/>
  <c r="F18" i="54"/>
  <c r="K11" i="54"/>
  <c r="L12" i="54"/>
  <c r="K17" i="54"/>
  <c r="F21" i="54"/>
  <c r="E18" i="54"/>
  <c r="G18" i="54"/>
  <c r="J19" i="53"/>
  <c r="H13" i="53"/>
  <c r="L13" i="53" s="1"/>
  <c r="G18" i="53"/>
  <c r="F18" i="53"/>
  <c r="F22" i="53" s="1"/>
  <c r="K8" i="53"/>
  <c r="H9" i="53"/>
  <c r="L9" i="53" s="1"/>
  <c r="K11" i="53"/>
  <c r="L14" i="53"/>
  <c r="J10" i="53"/>
  <c r="K23" i="53"/>
  <c r="C18" i="53"/>
  <c r="K16" i="53"/>
  <c r="G21" i="53"/>
  <c r="J13" i="53"/>
  <c r="L17" i="53"/>
  <c r="H6" i="53"/>
  <c r="H18" i="53" s="1"/>
  <c r="L18" i="53" s="1"/>
  <c r="H19" i="53"/>
  <c r="L10" i="54"/>
  <c r="K10" i="54"/>
  <c r="J20" i="54"/>
  <c r="L13" i="54"/>
  <c r="K24" i="53"/>
  <c r="K6" i="53"/>
  <c r="K9" i="53"/>
  <c r="L10" i="53"/>
  <c r="K10" i="53"/>
  <c r="E18" i="53"/>
  <c r="G21" i="54"/>
  <c r="D6" i="53"/>
  <c r="D18" i="53" s="1"/>
  <c r="L6" i="53"/>
  <c r="L7" i="53"/>
  <c r="L12" i="53"/>
  <c r="K13" i="53"/>
  <c r="L15" i="53"/>
  <c r="D20" i="53"/>
  <c r="J20" i="53" s="1"/>
  <c r="K9" i="54"/>
  <c r="L16" i="54"/>
  <c r="L23" i="54"/>
  <c r="K24" i="54"/>
  <c r="J9" i="53"/>
  <c r="I21" i="53"/>
  <c r="J24" i="53"/>
  <c r="D9" i="54"/>
  <c r="J9" i="54" s="1"/>
  <c r="I18" i="54"/>
  <c r="D19" i="54"/>
  <c r="H19" i="54"/>
  <c r="H20" i="54"/>
  <c r="K20" i="54" s="1"/>
  <c r="I18" i="53"/>
  <c r="H18" i="54" l="1"/>
  <c r="K18" i="54" s="1"/>
  <c r="K6" i="54"/>
  <c r="D21" i="54"/>
  <c r="J21" i="54" s="1"/>
  <c r="E22" i="54"/>
  <c r="C22" i="54"/>
  <c r="G22" i="54"/>
  <c r="D18" i="54"/>
  <c r="D22" i="54" s="1"/>
  <c r="F22" i="54"/>
  <c r="L20" i="54"/>
  <c r="H21" i="53"/>
  <c r="K19" i="53"/>
  <c r="C21" i="53"/>
  <c r="H22" i="53"/>
  <c r="L21" i="53"/>
  <c r="L19" i="53"/>
  <c r="G22" i="53"/>
  <c r="H21" i="54"/>
  <c r="K21" i="54" s="1"/>
  <c r="K19" i="54"/>
  <c r="L19" i="54"/>
  <c r="J6" i="53"/>
  <c r="K18" i="53"/>
  <c r="I22" i="53"/>
  <c r="J18" i="53"/>
  <c r="I22" i="54"/>
  <c r="K21" i="53"/>
  <c r="H22" i="54"/>
  <c r="L18" i="54"/>
  <c r="J19" i="54"/>
  <c r="E22" i="53"/>
  <c r="D21" i="53"/>
  <c r="J21" i="53" s="1"/>
  <c r="J18" i="54" l="1"/>
  <c r="L21" i="54"/>
  <c r="L22" i="53"/>
  <c r="C22" i="53"/>
  <c r="D22" i="53"/>
  <c r="J22" i="53" s="1"/>
  <c r="K22" i="53"/>
  <c r="K22" i="54"/>
  <c r="J22" i="54"/>
  <c r="L22" i="5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Nógrádi Erzsébet</author>
  </authors>
  <commentList>
    <comment ref="D39" authorId="0" shapeId="0" xr:uid="{10D38301-7A82-470D-BFD3-47DE3DF652FB}">
      <text>
        <r>
          <rPr>
            <b/>
            <sz val="9"/>
            <color indexed="81"/>
            <rFont val="Tahoma"/>
            <family val="2"/>
            <charset val="238"/>
          </rPr>
          <t>Nógrádi Erzsébet:</t>
        </r>
        <r>
          <rPr>
            <sz val="9"/>
            <color indexed="81"/>
            <rFont val="Tahoma"/>
            <family val="2"/>
            <charset val="238"/>
          </rPr>
          <t xml:space="preserve">
betegforgalmi alapján visszaszámolva</t>
        </r>
      </text>
    </comment>
  </commentList>
</comments>
</file>

<file path=xl/sharedStrings.xml><?xml version="1.0" encoding="utf-8"?>
<sst xmlns="http://schemas.openxmlformats.org/spreadsheetml/2006/main" count="78" uniqueCount="40">
  <si>
    <t>Lehetséges ápolási napok (szerződött ágy)</t>
  </si>
  <si>
    <t>Kiírt betegek száma</t>
  </si>
  <si>
    <t>Havi összes ápolási nap</t>
  </si>
  <si>
    <t>Havi ápolás átlagos tartalma</t>
  </si>
  <si>
    <t>Halálozás %</t>
  </si>
  <si>
    <t>eltávozott</t>
  </si>
  <si>
    <t>áthelyezett</t>
  </si>
  <si>
    <t>meghalt</t>
  </si>
  <si>
    <t>Sebészet</t>
  </si>
  <si>
    <t>Szemészeti osztály</t>
  </si>
  <si>
    <t>Aktív ellátás összesen:</t>
  </si>
  <si>
    <t>Krónikus ellátás összesen:</t>
  </si>
  <si>
    <t xml:space="preserve">  Mindösszesen:</t>
  </si>
  <si>
    <t>Szakmakód</t>
  </si>
  <si>
    <t>Szakma</t>
  </si>
  <si>
    <t>01</t>
  </si>
  <si>
    <t>04</t>
  </si>
  <si>
    <t>05</t>
  </si>
  <si>
    <t>02</t>
  </si>
  <si>
    <t>06</t>
  </si>
  <si>
    <t>07</t>
  </si>
  <si>
    <t>09</t>
  </si>
  <si>
    <t>Belgyógyászat</t>
  </si>
  <si>
    <t>Kardiológia</t>
  </si>
  <si>
    <t>Szülészet-nőgyógyászat</t>
  </si>
  <si>
    <t>Csecsemő-és gyermekgyógyászat</t>
  </si>
  <si>
    <t>Fül-orr-gégegyógyászat</t>
  </si>
  <si>
    <t>Neurológia</t>
  </si>
  <si>
    <t>Urológia</t>
  </si>
  <si>
    <t>Aneszteziológiai és Intenzív Betegellátás</t>
  </si>
  <si>
    <t>Sürgősségi Betegellátás</t>
  </si>
  <si>
    <t>Pszichiátria</t>
  </si>
  <si>
    <t>Krónikus ellátás</t>
  </si>
  <si>
    <t>Rehabilitációs ellátás</t>
  </si>
  <si>
    <t>Újszülött ellátások</t>
  </si>
  <si>
    <t>Nappali ellátások</t>
  </si>
  <si>
    <t>Ágykihasz-náltság % (szerződött ágyra)</t>
  </si>
  <si>
    <t>Szerződött ágyak száma (átlag)</t>
  </si>
  <si>
    <t>2026 első negyedév</t>
  </si>
  <si>
    <t>2026 második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</si>
</sst>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E]yyyy/\ mmmm;@"/>
    <numFmt numFmtId="165" formatCode="#,##0.0"/>
    <numFmt numFmtId="166" formatCode="0.0%"/>
    <numFmt numFmtId="167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0" fontId="0" fillId="0" borderId="0" xfId="0" applyNumberFormat="1"/>
    <xf numFmtId="2" fontId="2" fillId="0" borderId="1" xfId="0" applyNumberFormat="1" applyFont="1" applyBorder="1" applyAlignment="1">
      <alignment horizontal="center"/>
    </xf>
    <xf numFmtId="2" fontId="0" fillId="0" borderId="0" xfId="0" applyNumberFormat="1"/>
    <xf numFmtId="10" fontId="2" fillId="0" borderId="1" xfId="0" applyNumberFormat="1" applyFont="1" applyBorder="1"/>
    <xf numFmtId="0" fontId="4" fillId="0" borderId="0" xfId="0" applyFont="1"/>
    <xf numFmtId="49" fontId="2" fillId="0" borderId="1" xfId="0" applyNumberFormat="1" applyFont="1" applyBorder="1" applyAlignment="1">
      <alignment horizontal="lef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3" fontId="0" fillId="0" borderId="1" xfId="0" applyNumberFormat="1" applyBorder="1"/>
    <xf numFmtId="3" fontId="0" fillId="2" borderId="1" xfId="0" applyNumberFormat="1" applyFill="1" applyBorder="1"/>
    <xf numFmtId="49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3" fontId="4" fillId="0" borderId="0" xfId="0" applyNumberFormat="1" applyFont="1"/>
    <xf numFmtId="10" fontId="4" fillId="0" borderId="0" xfId="0" applyNumberFormat="1" applyFont="1"/>
    <xf numFmtId="2" fontId="4" fillId="0" borderId="0" xfId="0" applyNumberFormat="1" applyFont="1"/>
    <xf numFmtId="165" fontId="4" fillId="0" borderId="0" xfId="0" applyNumberFormat="1" applyFont="1"/>
    <xf numFmtId="3" fontId="5" fillId="0" borderId="0" xfId="0" applyNumberFormat="1" applyFont="1"/>
    <xf numFmtId="165" fontId="5" fillId="0" borderId="0" xfId="0" applyNumberFormat="1" applyFont="1"/>
    <xf numFmtId="166" fontId="0" fillId="0" borderId="1" xfId="0" applyNumberFormat="1" applyBorder="1"/>
    <xf numFmtId="166" fontId="0" fillId="2" borderId="1" xfId="0" applyNumberFormat="1" applyFill="1" applyBorder="1"/>
    <xf numFmtId="167" fontId="0" fillId="0" borderId="1" xfId="0" applyNumberFormat="1" applyBorder="1"/>
    <xf numFmtId="9" fontId="0" fillId="0" borderId="1" xfId="0" applyNumberFormat="1" applyBorder="1"/>
    <xf numFmtId="9" fontId="0" fillId="2" borderId="1" xfId="0" applyNumberFormat="1" applyFill="1" applyBorder="1"/>
    <xf numFmtId="167" fontId="0" fillId="2" borderId="1" xfId="0" applyNumberFormat="1" applyFill="1" applyBorder="1"/>
    <xf numFmtId="1" fontId="0" fillId="0" borderId="1" xfId="0" applyNumberFormat="1" applyBorder="1"/>
    <xf numFmtId="0" fontId="0" fillId="0" borderId="0" xfId="0" applyAlignment="1">
      <alignment horizontal="center"/>
    </xf>
    <xf numFmtId="1" fontId="8" fillId="0" borderId="1" xfId="0" applyNumberFormat="1" applyFont="1" applyBorder="1"/>
    <xf numFmtId="3" fontId="0" fillId="3" borderId="1" xfId="0" applyNumberFormat="1" applyFill="1" applyBorder="1"/>
    <xf numFmtId="3" fontId="8" fillId="0" borderId="1" xfId="0" applyNumberFormat="1" applyFont="1" applyBorder="1"/>
    <xf numFmtId="9" fontId="8" fillId="0" borderId="1" xfId="0" applyNumberFormat="1" applyFont="1" applyBorder="1"/>
    <xf numFmtId="0" fontId="8" fillId="0" borderId="1" xfId="0" applyFont="1" applyBorder="1"/>
    <xf numFmtId="3" fontId="8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10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2BAF-B24A-41E7-99F0-2DCA64C4D5B2}">
  <dimension ref="A1:L26"/>
  <sheetViews>
    <sheetView tabSelected="1" zoomScale="85" zoomScaleNormal="85" workbookViewId="0">
      <pane xSplit="2" ySplit="5" topLeftCell="C6" activePane="bottomRight" state="frozen"/>
      <selection activeCell="D34" sqref="D34"/>
      <selection pane="topRight" activeCell="D34" sqref="D34"/>
      <selection pane="bottomLeft" activeCell="D34" sqref="D34"/>
      <selection pane="bottomRight" activeCell="G28" sqref="G28"/>
    </sheetView>
  </sheetViews>
  <sheetFormatPr defaultRowHeight="15" x14ac:dyDescent="0.25"/>
  <cols>
    <col min="1" max="1" width="12.85546875" style="1" customWidth="1"/>
    <col min="2" max="2" width="37.42578125" style="2" customWidth="1"/>
    <col min="3" max="3" width="10.85546875" customWidth="1"/>
    <col min="4" max="4" width="13.42578125" customWidth="1"/>
    <col min="5" max="5" width="10.140625" bestFit="1" customWidth="1"/>
    <col min="6" max="6" width="11.140625" bestFit="1" customWidth="1"/>
    <col min="7" max="7" width="8.42578125" bestFit="1" customWidth="1"/>
    <col min="8" max="8" width="9.85546875" customWidth="1"/>
    <col min="9" max="9" width="10.28515625" customWidth="1"/>
    <col min="10" max="10" width="12.140625" style="8" customWidth="1"/>
    <col min="11" max="11" width="12.42578125" style="10" customWidth="1"/>
    <col min="12" max="12" width="12.7109375" style="8" customWidth="1"/>
  </cols>
  <sheetData>
    <row r="1" spans="1:12" ht="15.75" x14ac:dyDescent="0.25">
      <c r="A1" s="46" t="s">
        <v>38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5.75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5"/>
      <c r="B3" s="6"/>
      <c r="C3" s="6"/>
      <c r="D3" s="6"/>
      <c r="E3" s="6"/>
      <c r="F3" s="6"/>
      <c r="G3" s="6"/>
      <c r="H3" s="6"/>
      <c r="I3" s="6"/>
      <c r="J3" s="7"/>
      <c r="K3" s="9"/>
      <c r="L3" s="11"/>
    </row>
    <row r="4" spans="1:12" ht="15" customHeight="1" x14ac:dyDescent="0.25">
      <c r="A4" s="42" t="s">
        <v>13</v>
      </c>
      <c r="B4" s="42" t="s">
        <v>14</v>
      </c>
      <c r="C4" s="42" t="s">
        <v>37</v>
      </c>
      <c r="D4" s="42" t="s">
        <v>0</v>
      </c>
      <c r="E4" s="45"/>
      <c r="F4" s="45"/>
      <c r="G4" s="45"/>
      <c r="H4" s="42" t="s">
        <v>1</v>
      </c>
      <c r="I4" s="42" t="s">
        <v>2</v>
      </c>
      <c r="J4" s="48" t="s">
        <v>36</v>
      </c>
      <c r="K4" s="49" t="s">
        <v>3</v>
      </c>
      <c r="L4" s="48" t="s">
        <v>4</v>
      </c>
    </row>
    <row r="5" spans="1:12" ht="59.25" customHeight="1" x14ac:dyDescent="0.25">
      <c r="A5" s="42"/>
      <c r="B5" s="42"/>
      <c r="C5" s="42"/>
      <c r="D5" s="42"/>
      <c r="E5" s="15" t="s">
        <v>5</v>
      </c>
      <c r="F5" s="15" t="s">
        <v>6</v>
      </c>
      <c r="G5" s="15" t="s">
        <v>7</v>
      </c>
      <c r="H5" s="42"/>
      <c r="I5" s="42"/>
      <c r="J5" s="48"/>
      <c r="K5" s="49"/>
      <c r="L5" s="48"/>
    </row>
    <row r="6" spans="1:12" x14ac:dyDescent="0.25">
      <c r="A6" s="16" t="s">
        <v>15</v>
      </c>
      <c r="B6" s="13" t="s">
        <v>22</v>
      </c>
      <c r="C6" s="34">
        <f>24+36+10</f>
        <v>70</v>
      </c>
      <c r="D6" s="17">
        <f>(31+28+31)*C6</f>
        <v>6300</v>
      </c>
      <c r="E6" s="38">
        <f>193+202+128</f>
        <v>523</v>
      </c>
      <c r="F6" s="38">
        <f>45+38+35</f>
        <v>118</v>
      </c>
      <c r="G6" s="38">
        <f>53+40+42</f>
        <v>135</v>
      </c>
      <c r="H6" s="38">
        <f>+E6+F6+G6</f>
        <v>776</v>
      </c>
      <c r="I6" s="38">
        <f>2943+2534.5+2487</f>
        <v>7964.5</v>
      </c>
      <c r="J6" s="31">
        <f>IFERROR(+I6/D6,"")</f>
        <v>1.2642063492063491</v>
      </c>
      <c r="K6" s="30">
        <f t="shared" ref="K6:K17" si="0">IFERROR(+I6/H6,"")</f>
        <v>10.263530927835051</v>
      </c>
      <c r="L6" s="28">
        <f t="shared" ref="L6:L17" si="1">IFERROR(+G6/H6,"")</f>
        <v>0.17396907216494845</v>
      </c>
    </row>
    <row r="7" spans="1:12" x14ac:dyDescent="0.25">
      <c r="A7" s="16">
        <v>40</v>
      </c>
      <c r="B7" s="13" t="s">
        <v>23</v>
      </c>
      <c r="C7" s="14">
        <v>56</v>
      </c>
      <c r="D7" s="17">
        <f t="shared" ref="D7:D17" si="2">(31+28+31)*C7</f>
        <v>5040</v>
      </c>
      <c r="E7" s="38">
        <v>222</v>
      </c>
      <c r="F7" s="38">
        <v>42</v>
      </c>
      <c r="G7" s="38">
        <v>35</v>
      </c>
      <c r="H7" s="38">
        <f t="shared" ref="H7:H20" si="3">+E7+F7+G7</f>
        <v>299</v>
      </c>
      <c r="I7" s="38">
        <v>3008</v>
      </c>
      <c r="J7" s="31">
        <f t="shared" ref="J7:J17" si="4">IFERROR(+I7/D7,"")</f>
        <v>0.59682539682539681</v>
      </c>
      <c r="K7" s="30">
        <f t="shared" si="0"/>
        <v>10.060200668896321</v>
      </c>
      <c r="L7" s="28">
        <f t="shared" si="1"/>
        <v>0.11705685618729098</v>
      </c>
    </row>
    <row r="8" spans="1:12" x14ac:dyDescent="0.25">
      <c r="A8" s="16" t="s">
        <v>18</v>
      </c>
      <c r="B8" s="13" t="s">
        <v>8</v>
      </c>
      <c r="C8" s="14">
        <v>65</v>
      </c>
      <c r="D8" s="17">
        <f t="shared" si="2"/>
        <v>5850</v>
      </c>
      <c r="E8" s="38">
        <v>523</v>
      </c>
      <c r="F8" s="38">
        <v>37</v>
      </c>
      <c r="G8" s="38">
        <v>23</v>
      </c>
      <c r="H8" s="38">
        <f t="shared" si="3"/>
        <v>583</v>
      </c>
      <c r="I8" s="38">
        <v>3027</v>
      </c>
      <c r="J8" s="31">
        <f t="shared" si="4"/>
        <v>0.51743589743589746</v>
      </c>
      <c r="K8" s="30">
        <f t="shared" si="0"/>
        <v>5.1921097770154372</v>
      </c>
      <c r="L8" s="28">
        <f t="shared" si="1"/>
        <v>3.9451114922813037E-2</v>
      </c>
    </row>
    <row r="9" spans="1:12" x14ac:dyDescent="0.25">
      <c r="A9" s="16" t="s">
        <v>16</v>
      </c>
      <c r="B9" s="13" t="s">
        <v>24</v>
      </c>
      <c r="C9" s="14">
        <f>15+37</f>
        <v>52</v>
      </c>
      <c r="D9" s="17">
        <f t="shared" si="2"/>
        <v>4680</v>
      </c>
      <c r="E9" s="38">
        <f>342+731</f>
        <v>1073</v>
      </c>
      <c r="F9" s="38">
        <v>1</v>
      </c>
      <c r="G9" s="38">
        <f>2+5</f>
        <v>7</v>
      </c>
      <c r="H9" s="38">
        <f t="shared" si="3"/>
        <v>1081</v>
      </c>
      <c r="I9" s="38">
        <f>647+1937.5</f>
        <v>2584.5</v>
      </c>
      <c r="J9" s="31">
        <f t="shared" si="4"/>
        <v>0.55224358974358978</v>
      </c>
      <c r="K9" s="30">
        <f t="shared" si="0"/>
        <v>2.3908418131359852</v>
      </c>
      <c r="L9" s="28">
        <f t="shared" si="1"/>
        <v>6.4754856614246065E-3</v>
      </c>
    </row>
    <row r="10" spans="1:12" x14ac:dyDescent="0.25">
      <c r="A10" s="16" t="s">
        <v>17</v>
      </c>
      <c r="B10" s="13" t="s">
        <v>25</v>
      </c>
      <c r="C10" s="40">
        <f>5+20</f>
        <v>25</v>
      </c>
      <c r="D10" s="38">
        <f t="shared" si="2"/>
        <v>2250</v>
      </c>
      <c r="E10" s="38">
        <f>55+4</f>
        <v>59</v>
      </c>
      <c r="F10" s="38">
        <v>0</v>
      </c>
      <c r="G10" s="38">
        <v>0</v>
      </c>
      <c r="H10" s="38">
        <f t="shared" si="3"/>
        <v>59</v>
      </c>
      <c r="I10" s="38">
        <f>750+13</f>
        <v>763</v>
      </c>
      <c r="J10" s="31">
        <f t="shared" si="4"/>
        <v>0.33911111111111109</v>
      </c>
      <c r="K10" s="30">
        <f t="shared" si="0"/>
        <v>12.932203389830509</v>
      </c>
      <c r="L10" s="28">
        <f t="shared" si="1"/>
        <v>0</v>
      </c>
    </row>
    <row r="11" spans="1:12" x14ac:dyDescent="0.25">
      <c r="A11" s="16" t="s">
        <v>19</v>
      </c>
      <c r="B11" s="13" t="s">
        <v>26</v>
      </c>
      <c r="C11" s="40">
        <v>20</v>
      </c>
      <c r="D11" s="38">
        <f t="shared" si="2"/>
        <v>1800</v>
      </c>
      <c r="E11" s="38">
        <v>467</v>
      </c>
      <c r="F11" s="38">
        <v>2</v>
      </c>
      <c r="G11" s="38">
        <v>4</v>
      </c>
      <c r="H11" s="38">
        <f t="shared" si="3"/>
        <v>473</v>
      </c>
      <c r="I11" s="38">
        <v>1227</v>
      </c>
      <c r="J11" s="31">
        <f t="shared" si="4"/>
        <v>0.68166666666666664</v>
      </c>
      <c r="K11" s="30">
        <f t="shared" si="0"/>
        <v>2.5940803382663846</v>
      </c>
      <c r="L11" s="28">
        <f t="shared" si="1"/>
        <v>8.4566596194503175E-3</v>
      </c>
    </row>
    <row r="12" spans="1:12" x14ac:dyDescent="0.25">
      <c r="A12" s="16" t="s">
        <v>20</v>
      </c>
      <c r="B12" s="13" t="s">
        <v>9</v>
      </c>
      <c r="C12" s="40">
        <v>15</v>
      </c>
      <c r="D12" s="38">
        <f t="shared" si="2"/>
        <v>1350</v>
      </c>
      <c r="E12" s="38">
        <v>795</v>
      </c>
      <c r="F12" s="38">
        <v>1</v>
      </c>
      <c r="G12" s="38">
        <v>0</v>
      </c>
      <c r="H12" s="38">
        <f t="shared" si="3"/>
        <v>796</v>
      </c>
      <c r="I12" s="38">
        <v>197.5</v>
      </c>
      <c r="J12" s="31">
        <f t="shared" si="4"/>
        <v>0.14629629629629629</v>
      </c>
      <c r="K12" s="30">
        <f t="shared" si="0"/>
        <v>0.24811557788944724</v>
      </c>
      <c r="L12" s="28">
        <f t="shared" si="1"/>
        <v>0</v>
      </c>
    </row>
    <row r="13" spans="1:12" x14ac:dyDescent="0.25">
      <c r="A13" s="16" t="s">
        <v>21</v>
      </c>
      <c r="B13" s="13" t="s">
        <v>27</v>
      </c>
      <c r="C13" s="40">
        <v>67</v>
      </c>
      <c r="D13" s="38">
        <f t="shared" si="2"/>
        <v>6030</v>
      </c>
      <c r="E13" s="38">
        <f>9+533</f>
        <v>542</v>
      </c>
      <c r="F13" s="38">
        <f>0+90</f>
        <v>90</v>
      </c>
      <c r="G13" s="38">
        <f>1+42</f>
        <v>43</v>
      </c>
      <c r="H13" s="38">
        <f t="shared" si="3"/>
        <v>675</v>
      </c>
      <c r="I13" s="38">
        <f>58.5+4595.5</f>
        <v>4654</v>
      </c>
      <c r="J13" s="31">
        <f t="shared" si="4"/>
        <v>0.77180762852404639</v>
      </c>
      <c r="K13" s="30">
        <f t="shared" si="0"/>
        <v>6.894814814814815</v>
      </c>
      <c r="L13" s="28">
        <f t="shared" si="1"/>
        <v>6.3703703703703707E-2</v>
      </c>
    </row>
    <row r="14" spans="1:12" x14ac:dyDescent="0.25">
      <c r="A14" s="16">
        <v>11</v>
      </c>
      <c r="B14" s="13" t="s">
        <v>28</v>
      </c>
      <c r="C14" s="40">
        <v>45</v>
      </c>
      <c r="D14" s="38">
        <f t="shared" si="2"/>
        <v>4050</v>
      </c>
      <c r="E14" s="38">
        <v>873</v>
      </c>
      <c r="F14" s="38">
        <v>10</v>
      </c>
      <c r="G14" s="38">
        <v>5</v>
      </c>
      <c r="H14" s="38">
        <f t="shared" si="3"/>
        <v>888</v>
      </c>
      <c r="I14" s="38">
        <v>2913</v>
      </c>
      <c r="J14" s="31">
        <f t="shared" si="4"/>
        <v>0.71925925925925926</v>
      </c>
      <c r="K14" s="30">
        <f t="shared" si="0"/>
        <v>3.2804054054054053</v>
      </c>
      <c r="L14" s="28">
        <f t="shared" si="1"/>
        <v>5.6306306306306304E-3</v>
      </c>
    </row>
    <row r="15" spans="1:12" x14ac:dyDescent="0.25">
      <c r="A15" s="16">
        <v>15</v>
      </c>
      <c r="B15" s="13" t="s">
        <v>29</v>
      </c>
      <c r="C15" s="36">
        <v>10</v>
      </c>
      <c r="D15" s="38">
        <f>(31+28+31)*C15</f>
        <v>900</v>
      </c>
      <c r="E15" s="38">
        <v>8</v>
      </c>
      <c r="F15" s="38">
        <v>28</v>
      </c>
      <c r="G15" s="38">
        <v>19</v>
      </c>
      <c r="H15" s="38">
        <f t="shared" si="3"/>
        <v>55</v>
      </c>
      <c r="I15" s="38">
        <v>531</v>
      </c>
      <c r="J15" s="31">
        <f t="shared" si="4"/>
        <v>0.59</v>
      </c>
      <c r="K15" s="30">
        <f t="shared" si="0"/>
        <v>9.6545454545454543</v>
      </c>
      <c r="L15" s="28">
        <f t="shared" si="1"/>
        <v>0.34545454545454546</v>
      </c>
    </row>
    <row r="16" spans="1:12" x14ac:dyDescent="0.25">
      <c r="A16" s="16">
        <v>46</v>
      </c>
      <c r="B16" s="13" t="s">
        <v>30</v>
      </c>
      <c r="C16" s="40">
        <v>12</v>
      </c>
      <c r="D16" s="38">
        <f t="shared" si="2"/>
        <v>1080</v>
      </c>
      <c r="E16" s="38">
        <v>803</v>
      </c>
      <c r="F16" s="38">
        <v>0</v>
      </c>
      <c r="G16" s="38">
        <v>55</v>
      </c>
      <c r="H16" s="38">
        <f t="shared" si="3"/>
        <v>858</v>
      </c>
      <c r="I16" s="38">
        <v>231</v>
      </c>
      <c r="J16" s="31">
        <f t="shared" si="4"/>
        <v>0.21388888888888888</v>
      </c>
      <c r="K16" s="30">
        <f t="shared" si="0"/>
        <v>0.26923076923076922</v>
      </c>
      <c r="L16" s="28">
        <f t="shared" si="1"/>
        <v>6.4102564102564097E-2</v>
      </c>
    </row>
    <row r="17" spans="1:12" x14ac:dyDescent="0.25">
      <c r="A17" s="16">
        <v>18</v>
      </c>
      <c r="B17" s="13" t="s">
        <v>31</v>
      </c>
      <c r="C17" s="14">
        <v>29</v>
      </c>
      <c r="D17" s="17">
        <f t="shared" si="2"/>
        <v>2610</v>
      </c>
      <c r="E17" s="38">
        <v>265</v>
      </c>
      <c r="F17" s="38">
        <v>116</v>
      </c>
      <c r="G17" s="38">
        <v>3</v>
      </c>
      <c r="H17" s="38">
        <f t="shared" si="3"/>
        <v>384</v>
      </c>
      <c r="I17" s="38">
        <v>4745</v>
      </c>
      <c r="J17" s="31">
        <f t="shared" si="4"/>
        <v>1.8180076628352491</v>
      </c>
      <c r="K17" s="30">
        <f t="shared" si="0"/>
        <v>12.356770833333334</v>
      </c>
      <c r="L17" s="28">
        <f t="shared" si="1"/>
        <v>7.8125E-3</v>
      </c>
    </row>
    <row r="18" spans="1:12" x14ac:dyDescent="0.25">
      <c r="A18" s="43" t="s">
        <v>10</v>
      </c>
      <c r="B18" s="44"/>
      <c r="C18" s="18">
        <f t="shared" ref="C18:I18" si="5">SUM(C6:C17)</f>
        <v>466</v>
      </c>
      <c r="D18" s="18">
        <f t="shared" si="5"/>
        <v>41940</v>
      </c>
      <c r="E18" s="41">
        <f t="shared" si="5"/>
        <v>6153</v>
      </c>
      <c r="F18" s="41">
        <f t="shared" si="5"/>
        <v>445</v>
      </c>
      <c r="G18" s="41">
        <f t="shared" si="5"/>
        <v>329</v>
      </c>
      <c r="H18" s="41">
        <f t="shared" si="5"/>
        <v>6927</v>
      </c>
      <c r="I18" s="41">
        <f t="shared" si="5"/>
        <v>31845.5</v>
      </c>
      <c r="J18" s="32">
        <f>+I18/D18</f>
        <v>0.75931092036242254</v>
      </c>
      <c r="K18" s="33">
        <f>+I18/H18</f>
        <v>4.5973004186516526</v>
      </c>
      <c r="L18" s="29">
        <f>+G18/H18</f>
        <v>4.7495308214234158E-2</v>
      </c>
    </row>
    <row r="19" spans="1:12" x14ac:dyDescent="0.25">
      <c r="A19" s="16"/>
      <c r="B19" s="13" t="s">
        <v>32</v>
      </c>
      <c r="C19" s="14">
        <f>59+15+60+15+2+3+25</f>
        <v>179</v>
      </c>
      <c r="D19" s="17">
        <f t="shared" ref="D19:D20" si="6">(31+28+31)*C19</f>
        <v>16110</v>
      </c>
      <c r="E19" s="38">
        <f>36+7+24+31+0+1+25</f>
        <v>124</v>
      </c>
      <c r="F19" s="38">
        <f>2+24+2+15+0+2+19</f>
        <v>64</v>
      </c>
      <c r="G19" s="38">
        <f>54+8+45+15+0+0+24</f>
        <v>146</v>
      </c>
      <c r="H19" s="38">
        <f t="shared" si="3"/>
        <v>334</v>
      </c>
      <c r="I19" s="38">
        <f>4350.5+630+4922+866+127.5+29+1932</f>
        <v>12857</v>
      </c>
      <c r="J19" s="31">
        <f>IFERROR(+I19/D19,"")</f>
        <v>0.79807572936064552</v>
      </c>
      <c r="K19" s="30">
        <f>IFERROR(+I19/H19,"")</f>
        <v>38.494011976047901</v>
      </c>
      <c r="L19" s="28">
        <f>IFERROR(+G19/H19,"")</f>
        <v>0.43712574850299402</v>
      </c>
    </row>
    <row r="20" spans="1:12" x14ac:dyDescent="0.25">
      <c r="A20" s="16"/>
      <c r="B20" s="13" t="s">
        <v>33</v>
      </c>
      <c r="C20" s="14">
        <f>91+60+40</f>
        <v>191</v>
      </c>
      <c r="D20" s="17">
        <f t="shared" si="6"/>
        <v>17190</v>
      </c>
      <c r="E20" s="38">
        <f>21+167+112</f>
        <v>300</v>
      </c>
      <c r="F20" s="38">
        <f>8+5+13</f>
        <v>26</v>
      </c>
      <c r="G20" s="38">
        <f>0+1+3</f>
        <v>4</v>
      </c>
      <c r="H20" s="38">
        <f t="shared" si="3"/>
        <v>330</v>
      </c>
      <c r="I20" s="38">
        <f>1581.5+4265.5+3918.5</f>
        <v>9765.5</v>
      </c>
      <c r="J20" s="31">
        <f>IFERROR(+I20/D20,"")</f>
        <v>0.56809191390343228</v>
      </c>
      <c r="K20" s="30">
        <f>IFERROR(+I20/H20,"")</f>
        <v>29.592424242424244</v>
      </c>
      <c r="L20" s="28">
        <f>IFERROR(+G20/H20,"")</f>
        <v>1.2121212121212121E-2</v>
      </c>
    </row>
    <row r="21" spans="1:12" x14ac:dyDescent="0.25">
      <c r="A21" s="43" t="s">
        <v>11</v>
      </c>
      <c r="B21" s="44"/>
      <c r="C21" s="18">
        <f t="shared" ref="C21:I21" si="7">SUM(C19:C20)</f>
        <v>370</v>
      </c>
      <c r="D21" s="18">
        <f t="shared" si="7"/>
        <v>33300</v>
      </c>
      <c r="E21" s="41">
        <f t="shared" si="7"/>
        <v>424</v>
      </c>
      <c r="F21" s="41">
        <f t="shared" si="7"/>
        <v>90</v>
      </c>
      <c r="G21" s="41">
        <f t="shared" si="7"/>
        <v>150</v>
      </c>
      <c r="H21" s="41">
        <f t="shared" si="7"/>
        <v>664</v>
      </c>
      <c r="I21" s="41">
        <f t="shared" si="7"/>
        <v>22622.5</v>
      </c>
      <c r="J21" s="32">
        <f>+I21/D21</f>
        <v>0.67935435435435432</v>
      </c>
      <c r="K21" s="33">
        <f>+I21/H21</f>
        <v>34.070030120481931</v>
      </c>
      <c r="L21" s="29">
        <f>+G21/H21</f>
        <v>0.22590361445783133</v>
      </c>
    </row>
    <row r="22" spans="1:12" x14ac:dyDescent="0.25">
      <c r="A22" s="43" t="s">
        <v>12</v>
      </c>
      <c r="B22" s="44"/>
      <c r="C22" s="18">
        <f>+C18+C21</f>
        <v>836</v>
      </c>
      <c r="D22" s="18">
        <f>+D18+D21</f>
        <v>75240</v>
      </c>
      <c r="E22" s="41">
        <f t="shared" ref="E22:H22" si="8">+E18+E21</f>
        <v>6577</v>
      </c>
      <c r="F22" s="41">
        <f t="shared" si="8"/>
        <v>535</v>
      </c>
      <c r="G22" s="41">
        <f t="shared" si="8"/>
        <v>479</v>
      </c>
      <c r="H22" s="41">
        <f t="shared" si="8"/>
        <v>7591</v>
      </c>
      <c r="I22" s="41">
        <f>+I18+I21</f>
        <v>54468</v>
      </c>
      <c r="J22" s="32">
        <f>+I22/D22</f>
        <v>0.72392344497607652</v>
      </c>
      <c r="K22" s="33">
        <f>+I22/H22</f>
        <v>7.1753392174944013</v>
      </c>
      <c r="L22" s="29">
        <f>+G22/H22</f>
        <v>6.3101040706099329E-2</v>
      </c>
    </row>
    <row r="23" spans="1:12" x14ac:dyDescent="0.25">
      <c r="A23" s="16"/>
      <c r="B23" s="13" t="s">
        <v>34</v>
      </c>
      <c r="C23" s="14"/>
      <c r="D23" s="17"/>
      <c r="E23" s="38">
        <v>416</v>
      </c>
      <c r="F23" s="38">
        <v>52</v>
      </c>
      <c r="G23" s="38">
        <v>0</v>
      </c>
      <c r="H23" s="38">
        <f t="shared" ref="H23" si="9">+E23+F23+G23</f>
        <v>468</v>
      </c>
      <c r="I23" s="38">
        <v>1598.5</v>
      </c>
      <c r="J23" s="31" t="str">
        <f>IFERROR(+I23/D23,"")</f>
        <v/>
      </c>
      <c r="K23" s="30">
        <f>IFERROR(+I23/H23,"")</f>
        <v>3.4155982905982905</v>
      </c>
      <c r="L23" s="28">
        <f>IFERROR(+G23/H23,"")</f>
        <v>0</v>
      </c>
    </row>
    <row r="24" spans="1:12" x14ac:dyDescent="0.25">
      <c r="A24" s="16"/>
      <c r="B24" s="13" t="s">
        <v>35</v>
      </c>
      <c r="C24" s="14">
        <f>12+24+25</f>
        <v>61</v>
      </c>
      <c r="D24" s="17">
        <f>(12+24+25)*(13*5-1)</f>
        <v>3904</v>
      </c>
      <c r="E24" s="38">
        <f>13+67+29</f>
        <v>109</v>
      </c>
      <c r="F24" s="38">
        <v>0</v>
      </c>
      <c r="G24" s="38">
        <v>0</v>
      </c>
      <c r="H24" s="38">
        <f>+E24+F24+G24</f>
        <v>109</v>
      </c>
      <c r="I24" s="38">
        <f>211+1025.5+1384.5</f>
        <v>2621</v>
      </c>
      <c r="J24" s="31">
        <f>IFERROR(+I24/D24,"")</f>
        <v>0.67136270491803274</v>
      </c>
      <c r="K24" s="30">
        <f>IFERROR(+I24/H24,"")</f>
        <v>24.045871559633028</v>
      </c>
      <c r="L24" s="28">
        <f>IFERROR(+G24/H24,"")</f>
        <v>0</v>
      </c>
    </row>
    <row r="25" spans="1:12" x14ac:dyDescent="0.25">
      <c r="B25" s="19"/>
      <c r="E25" s="26"/>
      <c r="F25" s="26"/>
      <c r="G25" s="26"/>
      <c r="H25" s="26"/>
      <c r="I25" s="26"/>
    </row>
    <row r="26" spans="1:12" x14ac:dyDescent="0.25">
      <c r="B26" s="19"/>
      <c r="D26" s="27"/>
      <c r="E26" s="27"/>
      <c r="F26" s="27"/>
      <c r="G26" s="27"/>
      <c r="H26" s="27"/>
      <c r="I26" s="27"/>
    </row>
  </sheetData>
  <mergeCells count="15">
    <mergeCell ref="A1:L1"/>
    <mergeCell ref="A2:L2"/>
    <mergeCell ref="A4:A5"/>
    <mergeCell ref="B4:B5"/>
    <mergeCell ref="C4:C5"/>
    <mergeCell ref="D4:D5"/>
    <mergeCell ref="E4:G4"/>
    <mergeCell ref="H4:H5"/>
    <mergeCell ref="I4:I5"/>
    <mergeCell ref="J4:J5"/>
    <mergeCell ref="A18:B18"/>
    <mergeCell ref="A21:B21"/>
    <mergeCell ref="A22:B22"/>
    <mergeCell ref="K4:K5"/>
    <mergeCell ref="L4:L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442E-9D25-47D9-A317-F0A5419FB0FF}">
  <dimension ref="A1:L40"/>
  <sheetViews>
    <sheetView zoomScale="85" zoomScaleNormal="85" workbookViewId="0">
      <pane xSplit="2" ySplit="5" topLeftCell="C6" activePane="bottomRight" state="frozen"/>
      <selection activeCell="L30" sqref="L30"/>
      <selection pane="topRight" activeCell="L30" sqref="L30"/>
      <selection pane="bottomLeft" activeCell="L30" sqref="L30"/>
      <selection pane="bottomRight" activeCell="M28" sqref="M28"/>
    </sheetView>
  </sheetViews>
  <sheetFormatPr defaultRowHeight="15" x14ac:dyDescent="0.25"/>
  <cols>
    <col min="1" max="1" width="12.85546875" style="1" customWidth="1"/>
    <col min="2" max="2" width="37.42578125" style="2" customWidth="1"/>
    <col min="3" max="3" width="10.85546875" customWidth="1"/>
    <col min="4" max="4" width="13.42578125" customWidth="1"/>
    <col min="5" max="5" width="10.140625" bestFit="1" customWidth="1"/>
    <col min="6" max="6" width="11.140625" bestFit="1" customWidth="1"/>
    <col min="7" max="7" width="8.42578125" bestFit="1" customWidth="1"/>
    <col min="8" max="8" width="9.85546875" customWidth="1"/>
    <col min="9" max="9" width="10.28515625" customWidth="1"/>
    <col min="10" max="10" width="12.140625" style="8" customWidth="1"/>
    <col min="11" max="11" width="12.42578125" style="10" customWidth="1"/>
    <col min="12" max="12" width="12.7109375" style="8" customWidth="1"/>
  </cols>
  <sheetData>
    <row r="1" spans="1:12" ht="15.75" x14ac:dyDescent="0.25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5.75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5"/>
      <c r="B3" s="6"/>
      <c r="C3" s="6"/>
      <c r="D3" s="6"/>
      <c r="E3" s="6"/>
      <c r="F3" s="6"/>
      <c r="G3" s="6"/>
      <c r="H3" s="6"/>
      <c r="I3" s="6"/>
      <c r="J3" s="7"/>
      <c r="K3" s="9"/>
      <c r="L3" s="11"/>
    </row>
    <row r="4" spans="1:12" ht="15" customHeight="1" x14ac:dyDescent="0.25">
      <c r="A4" s="42" t="s">
        <v>13</v>
      </c>
      <c r="B4" s="42" t="s">
        <v>14</v>
      </c>
      <c r="C4" s="42" t="s">
        <v>37</v>
      </c>
      <c r="D4" s="42" t="s">
        <v>0</v>
      </c>
      <c r="E4" s="45"/>
      <c r="F4" s="45"/>
      <c r="G4" s="45"/>
      <c r="H4" s="42" t="s">
        <v>1</v>
      </c>
      <c r="I4" s="42" t="s">
        <v>2</v>
      </c>
      <c r="J4" s="48" t="s">
        <v>36</v>
      </c>
      <c r="K4" s="49" t="s">
        <v>3</v>
      </c>
      <c r="L4" s="48" t="s">
        <v>4</v>
      </c>
    </row>
    <row r="5" spans="1:12" ht="59.25" customHeight="1" x14ac:dyDescent="0.25">
      <c r="A5" s="42"/>
      <c r="B5" s="42"/>
      <c r="C5" s="42"/>
      <c r="D5" s="42"/>
      <c r="E5" s="15" t="s">
        <v>5</v>
      </c>
      <c r="F5" s="15" t="s">
        <v>6</v>
      </c>
      <c r="G5" s="15" t="s">
        <v>7</v>
      </c>
      <c r="H5" s="42"/>
      <c r="I5" s="42"/>
      <c r="J5" s="48"/>
      <c r="K5" s="49"/>
      <c r="L5" s="48"/>
    </row>
    <row r="6" spans="1:12" x14ac:dyDescent="0.25">
      <c r="A6" s="16" t="s">
        <v>15</v>
      </c>
      <c r="B6" s="13" t="s">
        <v>22</v>
      </c>
      <c r="C6" s="34">
        <f>24+36+10</f>
        <v>70</v>
      </c>
      <c r="D6" s="17">
        <f>(30+31+30)*C6</f>
        <v>6370</v>
      </c>
      <c r="E6" s="38">
        <f>216+209+171</f>
        <v>596</v>
      </c>
      <c r="F6" s="38">
        <f>31+37+27</f>
        <v>95</v>
      </c>
      <c r="G6" s="38">
        <f>48+24+31</f>
        <v>103</v>
      </c>
      <c r="H6" s="38">
        <f>+E6+F6+G6</f>
        <v>794</v>
      </c>
      <c r="I6" s="38">
        <f>3041.5+2885.5+2679</f>
        <v>8606</v>
      </c>
      <c r="J6" s="39">
        <f>IFERROR(+I6/D6,"")</f>
        <v>1.3510204081632653</v>
      </c>
      <c r="K6" s="30">
        <f t="shared" ref="K6:K17" si="0">IFERROR(+I6/H6,"")</f>
        <v>10.838790931989925</v>
      </c>
      <c r="L6" s="28">
        <f t="shared" ref="L6:L17" si="1">IFERROR(+G6/H6,"")</f>
        <v>0.12972292191435769</v>
      </c>
    </row>
    <row r="7" spans="1:12" x14ac:dyDescent="0.25">
      <c r="A7" s="16">
        <v>40</v>
      </c>
      <c r="B7" s="13" t="s">
        <v>23</v>
      </c>
      <c r="C7" s="14">
        <v>56</v>
      </c>
      <c r="D7" s="17">
        <f t="shared" ref="D7:D17" si="2">(30+31+30)*C7</f>
        <v>5096</v>
      </c>
      <c r="E7" s="17">
        <v>247</v>
      </c>
      <c r="F7" s="17">
        <v>31</v>
      </c>
      <c r="G7" s="17">
        <v>35</v>
      </c>
      <c r="H7" s="17">
        <f t="shared" ref="H7:H20" si="3">+E7+F7+G7</f>
        <v>313</v>
      </c>
      <c r="I7" s="17">
        <v>3046</v>
      </c>
      <c r="J7" s="31">
        <f t="shared" ref="J7:J17" si="4">IFERROR(+I7/D7,"")</f>
        <v>0.59772370486656201</v>
      </c>
      <c r="K7" s="30">
        <f t="shared" si="0"/>
        <v>9.7316293929712465</v>
      </c>
      <c r="L7" s="28">
        <f t="shared" si="1"/>
        <v>0.11182108626198083</v>
      </c>
    </row>
    <row r="8" spans="1:12" x14ac:dyDescent="0.25">
      <c r="A8" s="16" t="s">
        <v>18</v>
      </c>
      <c r="B8" s="13" t="s">
        <v>8</v>
      </c>
      <c r="C8" s="14">
        <v>65</v>
      </c>
      <c r="D8" s="17">
        <f t="shared" si="2"/>
        <v>5915</v>
      </c>
      <c r="E8" s="17">
        <v>598</v>
      </c>
      <c r="F8" s="17">
        <v>34</v>
      </c>
      <c r="G8" s="17">
        <v>20</v>
      </c>
      <c r="H8" s="17">
        <f t="shared" si="3"/>
        <v>652</v>
      </c>
      <c r="I8" s="17">
        <v>3297</v>
      </c>
      <c r="J8" s="31">
        <f t="shared" si="4"/>
        <v>0.55739644970414204</v>
      </c>
      <c r="K8" s="30">
        <f t="shared" si="0"/>
        <v>5.0567484662576687</v>
      </c>
      <c r="L8" s="28">
        <f t="shared" si="1"/>
        <v>3.0674846625766871E-2</v>
      </c>
    </row>
    <row r="9" spans="1:12" x14ac:dyDescent="0.25">
      <c r="A9" s="16" t="s">
        <v>16</v>
      </c>
      <c r="B9" s="13" t="s">
        <v>24</v>
      </c>
      <c r="C9" s="14">
        <f>15+37</f>
        <v>52</v>
      </c>
      <c r="D9" s="17">
        <f t="shared" si="2"/>
        <v>4732</v>
      </c>
      <c r="E9" s="17">
        <f>307+666</f>
        <v>973</v>
      </c>
      <c r="F9" s="17">
        <v>2</v>
      </c>
      <c r="G9" s="17">
        <f>1+2</f>
        <v>3</v>
      </c>
      <c r="H9" s="17">
        <f t="shared" si="3"/>
        <v>978</v>
      </c>
      <c r="I9" s="17">
        <f>496+1895</f>
        <v>2391</v>
      </c>
      <c r="J9" s="31">
        <f t="shared" si="4"/>
        <v>0.50528317836010139</v>
      </c>
      <c r="K9" s="30">
        <f t="shared" si="0"/>
        <v>2.4447852760736195</v>
      </c>
      <c r="L9" s="28">
        <f t="shared" si="1"/>
        <v>3.0674846625766872E-3</v>
      </c>
    </row>
    <row r="10" spans="1:12" x14ac:dyDescent="0.25">
      <c r="A10" s="16" t="s">
        <v>17</v>
      </c>
      <c r="B10" s="13" t="s">
        <v>25</v>
      </c>
      <c r="C10" s="14">
        <f>5+20</f>
        <v>25</v>
      </c>
      <c r="D10" s="17">
        <f t="shared" si="2"/>
        <v>2275</v>
      </c>
      <c r="E10" s="17">
        <f>63+4</f>
        <v>67</v>
      </c>
      <c r="F10" s="17">
        <v>0</v>
      </c>
      <c r="G10" s="17">
        <v>0</v>
      </c>
      <c r="H10" s="17">
        <f t="shared" si="3"/>
        <v>67</v>
      </c>
      <c r="I10" s="17">
        <f>1065+5</f>
        <v>1070</v>
      </c>
      <c r="J10" s="31">
        <f t="shared" si="4"/>
        <v>0.47032967032967032</v>
      </c>
      <c r="K10" s="30">
        <f t="shared" si="0"/>
        <v>15.970149253731343</v>
      </c>
      <c r="L10" s="28">
        <f t="shared" si="1"/>
        <v>0</v>
      </c>
    </row>
    <row r="11" spans="1:12" x14ac:dyDescent="0.25">
      <c r="A11" s="16" t="s">
        <v>19</v>
      </c>
      <c r="B11" s="13" t="s">
        <v>26</v>
      </c>
      <c r="C11" s="14">
        <v>20</v>
      </c>
      <c r="D11" s="17">
        <f t="shared" si="2"/>
        <v>1820</v>
      </c>
      <c r="E11" s="17">
        <v>439</v>
      </c>
      <c r="F11" s="17">
        <v>5</v>
      </c>
      <c r="G11" s="17">
        <v>1</v>
      </c>
      <c r="H11" s="17">
        <f t="shared" si="3"/>
        <v>445</v>
      </c>
      <c r="I11" s="17">
        <v>1172.5</v>
      </c>
      <c r="J11" s="31">
        <f t="shared" si="4"/>
        <v>0.64423076923076927</v>
      </c>
      <c r="K11" s="30">
        <f t="shared" si="0"/>
        <v>2.6348314606741572</v>
      </c>
      <c r="L11" s="28">
        <f t="shared" si="1"/>
        <v>2.2471910112359553E-3</v>
      </c>
    </row>
    <row r="12" spans="1:12" x14ac:dyDescent="0.25">
      <c r="A12" s="16" t="s">
        <v>20</v>
      </c>
      <c r="B12" s="13" t="s">
        <v>9</v>
      </c>
      <c r="C12" s="14">
        <v>15</v>
      </c>
      <c r="D12" s="17">
        <f t="shared" si="2"/>
        <v>1365</v>
      </c>
      <c r="E12" s="17">
        <v>844</v>
      </c>
      <c r="F12" s="17">
        <v>1</v>
      </c>
      <c r="G12" s="17">
        <v>0</v>
      </c>
      <c r="H12" s="17">
        <f t="shared" si="3"/>
        <v>845</v>
      </c>
      <c r="I12" s="17">
        <v>259.5</v>
      </c>
      <c r="J12" s="31">
        <f t="shared" si="4"/>
        <v>0.1901098901098901</v>
      </c>
      <c r="K12" s="30">
        <f t="shared" si="0"/>
        <v>0.30710059171597631</v>
      </c>
      <c r="L12" s="28">
        <f t="shared" si="1"/>
        <v>0</v>
      </c>
    </row>
    <row r="13" spans="1:12" x14ac:dyDescent="0.25">
      <c r="A13" s="16" t="s">
        <v>21</v>
      </c>
      <c r="B13" s="13" t="s">
        <v>27</v>
      </c>
      <c r="C13" s="14">
        <v>67</v>
      </c>
      <c r="D13" s="17">
        <f t="shared" si="2"/>
        <v>6097</v>
      </c>
      <c r="E13" s="17">
        <f>1+547</f>
        <v>548</v>
      </c>
      <c r="F13" s="17">
        <f>0+110</f>
        <v>110</v>
      </c>
      <c r="G13" s="17">
        <v>46</v>
      </c>
      <c r="H13" s="17">
        <f t="shared" si="3"/>
        <v>704</v>
      </c>
      <c r="I13" s="17">
        <f>3+4631</f>
        <v>4634</v>
      </c>
      <c r="J13" s="31">
        <f>IFERROR(+I13/D13,"")</f>
        <v>0.7600459242250287</v>
      </c>
      <c r="K13" s="30">
        <f t="shared" si="0"/>
        <v>6.5823863636363633</v>
      </c>
      <c r="L13" s="28">
        <f t="shared" si="1"/>
        <v>6.5340909090909088E-2</v>
      </c>
    </row>
    <row r="14" spans="1:12" x14ac:dyDescent="0.25">
      <c r="A14" s="16">
        <v>11</v>
      </c>
      <c r="B14" s="13" t="s">
        <v>28</v>
      </c>
      <c r="C14" s="14">
        <v>45</v>
      </c>
      <c r="D14" s="17">
        <f t="shared" si="2"/>
        <v>4095</v>
      </c>
      <c r="E14" s="17">
        <v>966</v>
      </c>
      <c r="F14" s="17">
        <v>9</v>
      </c>
      <c r="G14" s="17">
        <v>3</v>
      </c>
      <c r="H14" s="17">
        <f t="shared" si="3"/>
        <v>978</v>
      </c>
      <c r="I14" s="17">
        <v>3059.5</v>
      </c>
      <c r="J14" s="31">
        <f t="shared" si="4"/>
        <v>0.74713064713064714</v>
      </c>
      <c r="K14" s="30">
        <f t="shared" si="0"/>
        <v>3.1283231083844583</v>
      </c>
      <c r="L14" s="28">
        <f t="shared" si="1"/>
        <v>3.0674846625766872E-3</v>
      </c>
    </row>
    <row r="15" spans="1:12" x14ac:dyDescent="0.25">
      <c r="A15" s="16">
        <v>15</v>
      </c>
      <c r="B15" s="13" t="s">
        <v>29</v>
      </c>
      <c r="C15" s="36">
        <f>+(((30)*10)+((31+30)*7))/(30+31+30)</f>
        <v>7.9890109890109891</v>
      </c>
      <c r="D15" s="17">
        <f t="shared" si="2"/>
        <v>727</v>
      </c>
      <c r="E15" s="17">
        <v>11</v>
      </c>
      <c r="F15" s="17">
        <v>27</v>
      </c>
      <c r="G15" s="17">
        <v>21</v>
      </c>
      <c r="H15" s="17">
        <f t="shared" si="3"/>
        <v>59</v>
      </c>
      <c r="I15" s="17">
        <v>531.5</v>
      </c>
      <c r="J15" s="31">
        <f t="shared" si="4"/>
        <v>0.73108665749656121</v>
      </c>
      <c r="K15" s="30">
        <f t="shared" si="0"/>
        <v>9.0084745762711869</v>
      </c>
      <c r="L15" s="28">
        <f t="shared" si="1"/>
        <v>0.3559322033898305</v>
      </c>
    </row>
    <row r="16" spans="1:12" x14ac:dyDescent="0.25">
      <c r="A16" s="16">
        <v>46</v>
      </c>
      <c r="B16" s="13" t="s">
        <v>30</v>
      </c>
      <c r="C16" s="14">
        <v>12</v>
      </c>
      <c r="D16" s="17">
        <f t="shared" si="2"/>
        <v>1092</v>
      </c>
      <c r="E16" s="17">
        <v>803</v>
      </c>
      <c r="F16" s="17">
        <v>0</v>
      </c>
      <c r="G16" s="17">
        <v>38</v>
      </c>
      <c r="H16" s="17">
        <f t="shared" si="3"/>
        <v>841</v>
      </c>
      <c r="I16" s="17">
        <v>225.5</v>
      </c>
      <c r="J16" s="31">
        <f t="shared" si="4"/>
        <v>0.20650183150183149</v>
      </c>
      <c r="K16" s="30">
        <f t="shared" si="0"/>
        <v>0.2681331747919144</v>
      </c>
      <c r="L16" s="28">
        <f t="shared" si="1"/>
        <v>4.5184304399524373E-2</v>
      </c>
    </row>
    <row r="17" spans="1:12" x14ac:dyDescent="0.25">
      <c r="A17" s="16">
        <v>18</v>
      </c>
      <c r="B17" s="13" t="s">
        <v>31</v>
      </c>
      <c r="C17" s="14">
        <v>29</v>
      </c>
      <c r="D17" s="17">
        <f t="shared" si="2"/>
        <v>2639</v>
      </c>
      <c r="E17" s="17">
        <v>348</v>
      </c>
      <c r="F17" s="17">
        <v>108</v>
      </c>
      <c r="G17" s="17">
        <v>3</v>
      </c>
      <c r="H17" s="17">
        <f t="shared" si="3"/>
        <v>459</v>
      </c>
      <c r="I17" s="17">
        <v>5584</v>
      </c>
      <c r="J17" s="31">
        <f t="shared" si="4"/>
        <v>2.1159530125047366</v>
      </c>
      <c r="K17" s="30">
        <f t="shared" si="0"/>
        <v>12.16557734204793</v>
      </c>
      <c r="L17" s="28">
        <f t="shared" si="1"/>
        <v>6.5359477124183009E-3</v>
      </c>
    </row>
    <row r="18" spans="1:12" x14ac:dyDescent="0.25">
      <c r="A18" s="43" t="s">
        <v>10</v>
      </c>
      <c r="B18" s="44"/>
      <c r="C18" s="18">
        <f t="shared" ref="C18:I18" si="5">SUM(C6:C17)</f>
        <v>463.98901098901098</v>
      </c>
      <c r="D18" s="18">
        <f t="shared" si="5"/>
        <v>42223</v>
      </c>
      <c r="E18" s="18">
        <f t="shared" si="5"/>
        <v>6440</v>
      </c>
      <c r="F18" s="18">
        <f t="shared" si="5"/>
        <v>422</v>
      </c>
      <c r="G18" s="18">
        <f t="shared" si="5"/>
        <v>273</v>
      </c>
      <c r="H18" s="18">
        <f t="shared" si="5"/>
        <v>7135</v>
      </c>
      <c r="I18" s="18">
        <f t="shared" si="5"/>
        <v>33876.5</v>
      </c>
      <c r="J18" s="32">
        <f>+I18/D18</f>
        <v>0.80232337825355848</v>
      </c>
      <c r="K18" s="33">
        <f>+I18/H18</f>
        <v>4.7479327259985986</v>
      </c>
      <c r="L18" s="29">
        <f>+G18/H18</f>
        <v>3.8262088297126837E-2</v>
      </c>
    </row>
    <row r="19" spans="1:12" x14ac:dyDescent="0.25">
      <c r="A19" s="16"/>
      <c r="B19" s="13" t="s">
        <v>32</v>
      </c>
      <c r="C19" s="14">
        <f>59+15+60+15+2+3+25</f>
        <v>179</v>
      </c>
      <c r="D19" s="17">
        <f t="shared" ref="D19:D20" si="6">(30+31+30)*C19</f>
        <v>16289</v>
      </c>
      <c r="E19" s="17">
        <f>25+14+25+24+1+2+37</f>
        <v>128</v>
      </c>
      <c r="F19" s="17">
        <f>5+11+3+13+1+1+17</f>
        <v>51</v>
      </c>
      <c r="G19" s="17">
        <f>34+3+41+9+1+1+27</f>
        <v>116</v>
      </c>
      <c r="H19" s="17">
        <f>+E19+F19+G19</f>
        <v>295</v>
      </c>
      <c r="I19" s="17">
        <f>3787+637+4956+563.5+88.5+118.5+1942</f>
        <v>12092.5</v>
      </c>
      <c r="J19" s="31">
        <f>IFERROR(+I19/D19,"")</f>
        <v>0.74237215298667814</v>
      </c>
      <c r="K19" s="30">
        <f>IFERROR(+I19/H19,"")</f>
        <v>40.991525423728817</v>
      </c>
      <c r="L19" s="28">
        <f>IFERROR(+G19/H19,"")</f>
        <v>0.39322033898305087</v>
      </c>
    </row>
    <row r="20" spans="1:12" x14ac:dyDescent="0.25">
      <c r="A20" s="16"/>
      <c r="B20" s="13" t="s">
        <v>33</v>
      </c>
      <c r="C20" s="14">
        <f>91+60+40</f>
        <v>191</v>
      </c>
      <c r="D20" s="17">
        <f t="shared" si="6"/>
        <v>17381</v>
      </c>
      <c r="E20" s="17">
        <f>34+178+113</f>
        <v>325</v>
      </c>
      <c r="F20" s="17">
        <f>2+3+3</f>
        <v>8</v>
      </c>
      <c r="G20" s="17">
        <f>0+0+6</f>
        <v>6</v>
      </c>
      <c r="H20" s="17">
        <f t="shared" si="3"/>
        <v>339</v>
      </c>
      <c r="I20" s="17">
        <f>1897+4074.5+3133</f>
        <v>9104.5</v>
      </c>
      <c r="J20" s="31">
        <f>IFERROR(+I20/D20,"")</f>
        <v>0.52381911282434845</v>
      </c>
      <c r="K20" s="30">
        <f>IFERROR(+I20/H20,"")</f>
        <v>26.856932153392329</v>
      </c>
      <c r="L20" s="28">
        <f>IFERROR(+G20/H20,"")</f>
        <v>1.7699115044247787E-2</v>
      </c>
    </row>
    <row r="21" spans="1:12" x14ac:dyDescent="0.25">
      <c r="A21" s="43" t="s">
        <v>11</v>
      </c>
      <c r="B21" s="44"/>
      <c r="C21" s="18">
        <f t="shared" ref="C21:I21" si="7">SUM(C19:C20)</f>
        <v>370</v>
      </c>
      <c r="D21" s="18">
        <f t="shared" si="7"/>
        <v>33670</v>
      </c>
      <c r="E21" s="18">
        <f t="shared" si="7"/>
        <v>453</v>
      </c>
      <c r="F21" s="18">
        <f t="shared" si="7"/>
        <v>59</v>
      </c>
      <c r="G21" s="18">
        <f t="shared" si="7"/>
        <v>122</v>
      </c>
      <c r="H21" s="18">
        <f t="shared" si="7"/>
        <v>634</v>
      </c>
      <c r="I21" s="18">
        <f t="shared" si="7"/>
        <v>21197</v>
      </c>
      <c r="J21" s="32">
        <f>+I21/D21</f>
        <v>0.6295515295515296</v>
      </c>
      <c r="K21" s="33">
        <f>+I21/H21</f>
        <v>33.433753943217667</v>
      </c>
      <c r="L21" s="29">
        <f>+G21/H21</f>
        <v>0.19242902208201892</v>
      </c>
    </row>
    <row r="22" spans="1:12" x14ac:dyDescent="0.25">
      <c r="A22" s="43" t="s">
        <v>12</v>
      </c>
      <c r="B22" s="44"/>
      <c r="C22" s="18">
        <f>+C18+C21</f>
        <v>833.98901098901092</v>
      </c>
      <c r="D22" s="18">
        <f>+D18+D21</f>
        <v>75893</v>
      </c>
      <c r="E22" s="18">
        <f t="shared" ref="E22:H22" si="8">+E18+E21</f>
        <v>6893</v>
      </c>
      <c r="F22" s="18">
        <f t="shared" si="8"/>
        <v>481</v>
      </c>
      <c r="G22" s="18">
        <f t="shared" si="8"/>
        <v>395</v>
      </c>
      <c r="H22" s="18">
        <f t="shared" si="8"/>
        <v>7769</v>
      </c>
      <c r="I22" s="18">
        <f>+I18+I21</f>
        <v>55073.5</v>
      </c>
      <c r="J22" s="32">
        <f>+I22/D22</f>
        <v>0.72567298696849514</v>
      </c>
      <c r="K22" s="33">
        <f>+I22/H22</f>
        <v>7.0888788775904237</v>
      </c>
      <c r="L22" s="29">
        <f>+G22/H22</f>
        <v>5.0843094349337106E-2</v>
      </c>
    </row>
    <row r="23" spans="1:12" x14ac:dyDescent="0.25">
      <c r="A23" s="16"/>
      <c r="B23" s="13" t="s">
        <v>34</v>
      </c>
      <c r="C23" s="14"/>
      <c r="D23" s="17"/>
      <c r="E23" s="17">
        <v>400</v>
      </c>
      <c r="F23" s="17">
        <v>43</v>
      </c>
      <c r="G23" s="17">
        <v>0</v>
      </c>
      <c r="H23" s="17">
        <f t="shared" ref="H23" si="9">+E23+F23+G23</f>
        <v>443</v>
      </c>
      <c r="I23" s="17">
        <v>1607.5</v>
      </c>
      <c r="J23" s="31" t="str">
        <f>IFERROR(+I23/D23,"")</f>
        <v/>
      </c>
      <c r="K23" s="30">
        <f>IFERROR(+I23/H23,"")</f>
        <v>3.6286681715575622</v>
      </c>
      <c r="L23" s="28">
        <f>IFERROR(+G23/H23,"")</f>
        <v>0</v>
      </c>
    </row>
    <row r="24" spans="1:12" x14ac:dyDescent="0.25">
      <c r="A24" s="16"/>
      <c r="B24" s="13" t="s">
        <v>35</v>
      </c>
      <c r="C24" s="14">
        <f>12+24+25</f>
        <v>61</v>
      </c>
      <c r="D24" s="17">
        <f>(12+24+25)*(13*5)</f>
        <v>3965</v>
      </c>
      <c r="E24" s="17">
        <f>16+81+16</f>
        <v>113</v>
      </c>
      <c r="F24" s="17">
        <v>2</v>
      </c>
      <c r="G24" s="17">
        <v>0</v>
      </c>
      <c r="H24" s="17">
        <f>+E24+F24+G24</f>
        <v>115</v>
      </c>
      <c r="I24" s="17">
        <f>322+1100.5+1494</f>
        <v>2916.5</v>
      </c>
      <c r="J24" s="31">
        <f>IFERROR(+I24/D24,"")</f>
        <v>0.73556116015132411</v>
      </c>
      <c r="K24" s="30">
        <f>IFERROR(+I24/H24,"")</f>
        <v>25.360869565217392</v>
      </c>
      <c r="L24" s="28">
        <f>IFERROR(+G24/H24,"")</f>
        <v>0</v>
      </c>
    </row>
    <row r="25" spans="1:12" x14ac:dyDescent="0.25">
      <c r="B25" s="19"/>
      <c r="D25" s="27"/>
      <c r="E25" s="27"/>
      <c r="F25" s="27"/>
      <c r="G25" s="27"/>
      <c r="H25" s="27"/>
      <c r="I25" s="27"/>
    </row>
    <row r="26" spans="1:12" x14ac:dyDescent="0.25">
      <c r="B26" s="19"/>
      <c r="D26" s="27"/>
      <c r="E26" s="27"/>
      <c r="F26" s="27"/>
      <c r="G26" s="27"/>
      <c r="H26" s="27"/>
      <c r="I26" s="27"/>
    </row>
    <row r="27" spans="1:12" x14ac:dyDescent="0.25">
      <c r="B27" s="19"/>
      <c r="E27" s="20"/>
      <c r="F27" s="20"/>
      <c r="G27" s="20"/>
      <c r="H27" s="20"/>
      <c r="I27" s="21"/>
    </row>
    <row r="28" spans="1:12" x14ac:dyDescent="0.25">
      <c r="B28" s="19"/>
      <c r="D28" s="17"/>
      <c r="E28" s="20"/>
      <c r="F28" s="20"/>
      <c r="G28" s="20"/>
      <c r="H28" s="20"/>
      <c r="I28" s="20"/>
    </row>
    <row r="32" spans="1:12" x14ac:dyDescent="0.25">
      <c r="D32" s="20"/>
      <c r="G32" s="35"/>
      <c r="I32" s="21"/>
    </row>
    <row r="33" spans="1:12" x14ac:dyDescent="0.25">
      <c r="D33" s="20"/>
      <c r="E33" s="20"/>
      <c r="F33" s="20"/>
      <c r="I33" s="21"/>
    </row>
    <row r="34" spans="1:12" x14ac:dyDescent="0.25">
      <c r="D34" s="20"/>
      <c r="E34" s="20"/>
      <c r="F34" s="20"/>
      <c r="I34" s="21"/>
    </row>
    <row r="35" spans="1:12" s="12" customFormat="1" x14ac:dyDescent="0.25">
      <c r="A35" s="3"/>
      <c r="B35" s="4"/>
      <c r="D35" s="20"/>
      <c r="E35" s="20"/>
      <c r="F35" s="20"/>
      <c r="G35"/>
      <c r="H35"/>
      <c r="I35" s="21"/>
      <c r="J35" s="23"/>
      <c r="K35" s="24"/>
      <c r="L35" s="23"/>
    </row>
    <row r="36" spans="1:12" x14ac:dyDescent="0.25">
      <c r="D36" s="20"/>
      <c r="E36" s="20"/>
      <c r="F36" s="22"/>
      <c r="G36" s="22"/>
      <c r="I36" s="21"/>
    </row>
    <row r="37" spans="1:12" x14ac:dyDescent="0.25">
      <c r="D37" s="20"/>
      <c r="I37" s="21"/>
    </row>
    <row r="38" spans="1:12" x14ac:dyDescent="0.25">
      <c r="D38" s="22"/>
      <c r="E38" s="20"/>
      <c r="F38" s="20"/>
      <c r="G38" s="22"/>
      <c r="H38" s="22"/>
      <c r="I38" s="25"/>
    </row>
    <row r="39" spans="1:12" x14ac:dyDescent="0.25">
      <c r="D39" s="37"/>
    </row>
    <row r="40" spans="1:12" x14ac:dyDescent="0.25">
      <c r="D40" s="10"/>
    </row>
  </sheetData>
  <mergeCells count="15">
    <mergeCell ref="A1:L1"/>
    <mergeCell ref="A2:L2"/>
    <mergeCell ref="A4:A5"/>
    <mergeCell ref="B4:B5"/>
    <mergeCell ref="C4:C5"/>
    <mergeCell ref="D4:D5"/>
    <mergeCell ref="E4:G4"/>
    <mergeCell ref="H4:H5"/>
    <mergeCell ref="I4:I5"/>
    <mergeCell ref="J4:J5"/>
    <mergeCell ref="A18:B18"/>
    <mergeCell ref="A21:B21"/>
    <mergeCell ref="A22:B22"/>
    <mergeCell ref="K4:K5"/>
    <mergeCell ref="L4:L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2026_1-3 hó</vt:lpstr>
      <vt:lpstr>2026_4-6 hó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Ilex Kft</cp:lastModifiedBy>
  <dcterms:created xsi:type="dcterms:W3CDTF">2019-07-02T11:39:47Z</dcterms:created>
  <dcterms:modified xsi:type="dcterms:W3CDTF">2026-08-03T15:20:54Z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4cb07a2e-5c6c-4fed-87c0-6ed78d8ab42e</vt:lpwstr>
  </property>
</Properties>
</file>